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180" windowHeight="8445" tabRatio="817" activeTab="3"/>
  </bookViews>
  <sheets>
    <sheet name="Príjmy final" sheetId="1" r:id="rId1"/>
    <sheet name="Sumár výdavky final" sheetId="2" r:id="rId2"/>
    <sheet name="finančné operácie final" sheetId="3" r:id="rId3"/>
    <sheet name="rekapitulácia final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18" sheetId="22" r:id="rId22"/>
    <sheet name="19" sheetId="23" r:id="rId23"/>
    <sheet name="20" sheetId="24" r:id="rId24"/>
    <sheet name="21" sheetId="25" r:id="rId25"/>
  </sheets>
  <definedNames>
    <definedName name="_xlnm.Print_Titles" localSheetId="4">'1'!$2:$3</definedName>
    <definedName name="_xlnm.Print_Titles" localSheetId="13">'10'!$2:$3</definedName>
    <definedName name="_xlnm.Print_Titles" localSheetId="14">'11'!$2:$3</definedName>
    <definedName name="_xlnm.Print_Titles" localSheetId="15">'12'!$2:$3</definedName>
    <definedName name="_xlnm.Print_Titles" localSheetId="18">'15'!$2:$3</definedName>
    <definedName name="_xlnm.Print_Titles" localSheetId="5">'2'!$2:$3</definedName>
    <definedName name="_xlnm.Print_Titles" localSheetId="23">'20'!$2:$3</definedName>
    <definedName name="_xlnm.Print_Titles" localSheetId="10">'7'!$2:$3</definedName>
    <definedName name="_xlnm.Print_Titles" localSheetId="11">'8'!$2:$3</definedName>
    <definedName name="_xlnm.Print_Titles" localSheetId="12">'9'!$2:$3</definedName>
    <definedName name="_xlnm.Print_Titles" localSheetId="0">'Príjmy final'!$3:$4</definedName>
    <definedName name="_xlnm.Print_Titles" localSheetId="1">'Sumár výdavky final'!$1:$2</definedName>
  </definedNames>
  <calcPr fullCalcOnLoad="1"/>
</workbook>
</file>

<file path=xl/comments11.xml><?xml version="1.0" encoding="utf-8"?>
<comments xmlns="http://schemas.openxmlformats.org/spreadsheetml/2006/main">
  <authors>
    <author>cigasova</author>
  </authors>
  <commentList>
    <comment ref="G12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19 750 €</t>
        </r>
      </text>
    </comment>
    <comment ref="K12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19 750 €</t>
        </r>
      </text>
    </comment>
    <comment ref="M12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19 750 €</t>
        </r>
      </text>
    </comment>
  </commentList>
</comments>
</file>

<file path=xl/comments12.xml><?xml version="1.0" encoding="utf-8"?>
<comments xmlns="http://schemas.openxmlformats.org/spreadsheetml/2006/main">
  <authors>
    <author>cigasova</author>
  </authors>
  <commentList>
    <comment ref="G43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588 492 €</t>
        </r>
      </text>
    </comment>
    <comment ref="K43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588 492 €</t>
        </r>
      </text>
    </comment>
    <comment ref="M43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588 492 €</t>
        </r>
      </text>
    </comment>
    <comment ref="G23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9 000 €</t>
        </r>
      </text>
    </comment>
    <comment ref="G24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56 430 €</t>
        </r>
      </text>
    </comment>
    <comment ref="K23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9 000 €</t>
        </r>
      </text>
    </comment>
    <comment ref="K24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56 430 €</t>
        </r>
      </text>
    </comment>
    <comment ref="M23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9 000 €</t>
        </r>
      </text>
    </comment>
    <comment ref="M24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49 800 €</t>
        </r>
      </text>
    </comment>
    <comment ref="G66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22 600 €</t>
        </r>
      </text>
    </comment>
    <comment ref="K66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22 600 €</t>
        </r>
      </text>
    </comment>
    <comment ref="M66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22 600 €</t>
        </r>
      </text>
    </comment>
  </commentList>
</comments>
</file>

<file path=xl/comments13.xml><?xml version="1.0" encoding="utf-8"?>
<comments xmlns="http://schemas.openxmlformats.org/spreadsheetml/2006/main">
  <authors>
    <author>cigasova</author>
  </authors>
  <commentList>
    <comment ref="C53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115 tis. Sk</t>
        </r>
      </text>
    </comment>
    <comment ref="D53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116 tis. Sk</t>
        </r>
      </text>
    </comment>
    <comment ref="C54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964 tis. Sk</t>
        </r>
      </text>
    </comment>
    <comment ref="D54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785 tis. Sk</t>
        </r>
      </text>
    </comment>
    <comment ref="D59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15 tis. Sk</t>
        </r>
      </text>
    </comment>
    <comment ref="D60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804 tis Sk</t>
        </r>
      </text>
    </comment>
    <comment ref="D61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35 tis. Sk</t>
        </r>
      </text>
    </comment>
    <comment ref="D180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35 tis. Sk</t>
        </r>
      </text>
    </comment>
  </commentList>
</comments>
</file>

<file path=xl/comments25.xml><?xml version="1.0" encoding="utf-8"?>
<comments xmlns="http://schemas.openxmlformats.org/spreadsheetml/2006/main">
  <authors>
    <author>cigasova</author>
  </authors>
  <commentList>
    <comment ref="C8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1 961 tis. Sk</t>
        </r>
      </text>
    </comment>
    <comment ref="C9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1 034 tis. Sk</t>
        </r>
      </text>
    </comment>
    <comment ref="D8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2 021 tis. Sk</t>
        </r>
      </text>
    </comment>
    <comment ref="D9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685 tis. Sk</t>
        </r>
      </text>
    </comment>
  </commentList>
</comments>
</file>

<file path=xl/comments7.xml><?xml version="1.0" encoding="utf-8"?>
<comments xmlns="http://schemas.openxmlformats.org/spreadsheetml/2006/main">
  <authors>
    <author>cigasova</author>
  </authors>
  <commentList>
    <comment ref="D8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2 088 tis. Sk</t>
        </r>
      </text>
    </comment>
    <comment ref="G8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16 597 €</t>
        </r>
      </text>
    </comment>
    <comment ref="K8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16 597 €</t>
        </r>
      </text>
    </comment>
    <comment ref="M8" authorId="0">
      <text>
        <r>
          <rPr>
            <b/>
            <sz val="8"/>
            <rFont val="Tahoma"/>
            <family val="0"/>
          </rPr>
          <t>cigasova:</t>
        </r>
        <r>
          <rPr>
            <sz val="8"/>
            <rFont val="Tahoma"/>
            <family val="0"/>
          </rPr>
          <t xml:space="preserve">
16 597 €</t>
        </r>
      </text>
    </comment>
  </commentList>
</comments>
</file>

<file path=xl/sharedStrings.xml><?xml version="1.0" encoding="utf-8"?>
<sst xmlns="http://schemas.openxmlformats.org/spreadsheetml/2006/main" count="3672" uniqueCount="1323">
  <si>
    <t>kapitálové príjmy</t>
  </si>
  <si>
    <t>- školenie opatrovateliek - zákon č. 448/2008 Z. z. - naviac zo zákona</t>
  </si>
  <si>
    <t>- doplnenie zamestanacov - zákon č. 448/2008 Z. z. - naviac zo zákona</t>
  </si>
  <si>
    <t>Medzinárodná spevácka súťaž M. Sch. Trnavského</t>
  </si>
  <si>
    <t>Trnavská brána</t>
  </si>
  <si>
    <t>Promenádne koncerty dychových hudieb</t>
  </si>
  <si>
    <t>Rekonštrukcia a modernizácia vykurovacieho systému - radnica Trnava</t>
  </si>
  <si>
    <t>Σ vlastné zdroje</t>
  </si>
  <si>
    <t>Σ grantové zdroje</t>
  </si>
  <si>
    <t>DOPRAVA + PROJEKTY</t>
  </si>
  <si>
    <t>ŽIVOTNÉ PROSTREDIE + PROJEKTY</t>
  </si>
  <si>
    <t>- z recyklačného fondu</t>
  </si>
  <si>
    <t>ODPADOVÉ HOSPODÁRSTVO + PROJEKTY</t>
  </si>
  <si>
    <t>1.1.1.1</t>
  </si>
  <si>
    <t>1.1.1.2</t>
  </si>
  <si>
    <t>1.1.1.3</t>
  </si>
  <si>
    <t>1.1.1.4</t>
  </si>
  <si>
    <t>1.1.1.5</t>
  </si>
  <si>
    <t>1.1.1.6</t>
  </si>
  <si>
    <t>1.1.1.7</t>
  </si>
  <si>
    <t>1.1.2</t>
  </si>
  <si>
    <t>1.1.2.1</t>
  </si>
  <si>
    <t>1.1.2.2</t>
  </si>
  <si>
    <t>1.1.2.3</t>
  </si>
  <si>
    <t>1.1.2.4</t>
  </si>
  <si>
    <t>1.1.2.5</t>
  </si>
  <si>
    <t>1.2.1</t>
  </si>
  <si>
    <t>Granty na ekológiu a životné prostredie</t>
  </si>
  <si>
    <t>Skládka odpadu Boleráz - rekultivácia</t>
  </si>
  <si>
    <t>Príspevok na pomoc v hmotnej núdzi - transfer ÚPSVaR</t>
  </si>
  <si>
    <t>- výdavky na prenesený výkon štátnej správy</t>
  </si>
  <si>
    <t>9.1.1.4</t>
  </si>
  <si>
    <t>Výdavky zo školného</t>
  </si>
  <si>
    <t>9.1.1.12.</t>
  </si>
  <si>
    <t xml:space="preserve">Granty </t>
  </si>
  <si>
    <t>4</t>
  </si>
  <si>
    <t>Rekonštrukcia verejného osvetlenia (v roku 2010 ul. Ľ. Podjavorinskej)</t>
  </si>
  <si>
    <t>SLUŽBY + PROJEKTY</t>
  </si>
  <si>
    <t>Projekt Skvalitnenie úrovne v Zariadení pre seniorov v Trnave</t>
  </si>
  <si>
    <t>SOCIÁLNA STAROSTLIVOSŤ + PROJEKTY</t>
  </si>
  <si>
    <t>ŠKOLSTVO A VZDELÁVACÍ SYSTÉM + PROJEKTY</t>
  </si>
  <si>
    <t>Inovatívne metódy vo vyučovaní prírodovedných predmetov</t>
  </si>
  <si>
    <t>Interkulturálne vzdelávanie pre deti a dospelých</t>
  </si>
  <si>
    <t>KULTÚRA + PROJEKTY</t>
  </si>
  <si>
    <t>VZŤAHY S VEREJNOSŤOU + PROJEKTY</t>
  </si>
  <si>
    <t>INFORMAČNÝ A KOMUNIKAČNÝ SYSTÉM + PROJEKTY</t>
  </si>
  <si>
    <t>Kvalifikovaní zamestnanci - základ modernej samosprávy</t>
  </si>
  <si>
    <t>ĽUDSKÉ ZDROJE + PROJEKTY</t>
  </si>
  <si>
    <t>SPRÁVA ÚRADU A PREVÁDZKA BUDOV + PROJEKTY</t>
  </si>
  <si>
    <t>Chránené dielne</t>
  </si>
  <si>
    <t>MESTSKÁ POLÍCIA + PROJEKTY</t>
  </si>
  <si>
    <t>PODPORA MALÉHO A STREDNÉHO PODNIKANIA + PROJEKTY</t>
  </si>
  <si>
    <t>- vlastné zdroje (autorský dozor, marketingové aktivity, štúdia)</t>
  </si>
  <si>
    <t>Zavádzanie a rozvoj eGovermentu mesta</t>
  </si>
  <si>
    <t>GIS a e-GOV</t>
  </si>
  <si>
    <t>nevyhnutné finančné prostriedky</t>
  </si>
  <si>
    <t>Rekonštrukcia a modernizácia ZŠ Gorkého</t>
  </si>
  <si>
    <t>Euromost škola Kyjov - Trnava</t>
  </si>
  <si>
    <t>Modernizácia (rekonštrukcia) kuchyne - spolufinancovanie odstránenia závad VZT</t>
  </si>
  <si>
    <t>Rekonštrukcia plochých striech pavilónu A2 + súvisiace práce na výmene okien a copilitu</t>
  </si>
  <si>
    <t>Oprava kanalizácie a sociálnych zariadení v pavilóne C</t>
  </si>
  <si>
    <t>Modernizácia školy - telocvičňa, spojovací krčok,... (len PD)</t>
  </si>
  <si>
    <t>Modernizácia školy - zateplenie a výmena okien (len PD)</t>
  </si>
  <si>
    <t>Rekonštrukcia plochých striech pavilónov A, B, F</t>
  </si>
  <si>
    <t>Rekoštrukcia WC v pavilóne D</t>
  </si>
  <si>
    <t>Športové multifunkčné ihrisko ZŠ A. Kubinu</t>
  </si>
  <si>
    <t>Oprava havarijných pergol</t>
  </si>
  <si>
    <t>Výmena okien na južnom pavilóne</t>
  </si>
  <si>
    <t>Športové multifunkčné ihrisko (len PD)</t>
  </si>
  <si>
    <t>Výmena okien na pavilóne B</t>
  </si>
  <si>
    <t>- MŠ v Jame - rekonštrukcia oplotenia</t>
  </si>
  <si>
    <t>- MŠ Limbova - rekonštrukcia prístupového chodníka</t>
  </si>
  <si>
    <t>- MŠ Čajkovského - rekonštrukcia sociálnych zariadení</t>
  </si>
  <si>
    <t>- MŠ Čajkovského - výmena okien</t>
  </si>
  <si>
    <t>- MŠ T. Tekela - rekonštrukcia strechy</t>
  </si>
  <si>
    <t>- MŠ T. Tekela - zateplenie objektu</t>
  </si>
  <si>
    <t>- MŠ Okružná 27 - rekonštrukcia elektroinštalácie</t>
  </si>
  <si>
    <t>- MŠ Murgašova - rekonštrukcia elektroinštalácie</t>
  </si>
  <si>
    <t>- MŠ Hodžova - rekonštrukcia elektroinštalácie</t>
  </si>
  <si>
    <t>- MŠ Narcisova - zateplenie objektu</t>
  </si>
  <si>
    <t>- MŠ Narcisova - výmena okien</t>
  </si>
  <si>
    <t>- MŠ Narcisova - rekoštrukcia strechy</t>
  </si>
  <si>
    <t>- MŠ Spartakovská 6 - rekonštrukcia strechy</t>
  </si>
  <si>
    <t>Voľnočasové aktivity pre deti a mládež</t>
  </si>
  <si>
    <t>- Stojiská na kontajnery</t>
  </si>
  <si>
    <t>Detské ihrisko Dolné Bašty (DSP + realizácia 1. etapa)</t>
  </si>
  <si>
    <t>Parčík za daňovým úradom (DSP + realizácia)</t>
  </si>
  <si>
    <t xml:space="preserve">2. návrh na rozpočet 2010 </t>
  </si>
  <si>
    <t>2. návrh na rozpočet 2010</t>
  </si>
  <si>
    <t>- Parky,  parčíky a detské ihriská</t>
  </si>
  <si>
    <t>Revitalizácia areálu Kamenný mlyn</t>
  </si>
  <si>
    <t>- Parky, parčíky a detské ihriská</t>
  </si>
  <si>
    <t>Projektová dokumentácia</t>
  </si>
  <si>
    <t>Realizácia</t>
  </si>
  <si>
    <t>9.1.2.5</t>
  </si>
  <si>
    <t>9.1.2.6</t>
  </si>
  <si>
    <t>9.1.2.7</t>
  </si>
  <si>
    <t>9.1.2.8</t>
  </si>
  <si>
    <t>- Prevádzkované objekty</t>
  </si>
  <si>
    <t>Mestská športová hala - rekonštrukcia osvetlenia haly</t>
  </si>
  <si>
    <t>Futbalové ihriská Rybníková - oplotenie ihrísk</t>
  </si>
  <si>
    <t>Športový areál Modranka - rekonštrukcia malej telocvične</t>
  </si>
  <si>
    <t>Športový areál Modranka - rekonštrukcia areálu ( PD + realizácia)</t>
  </si>
  <si>
    <t>- Kultúrne podujatia v západnom krídle radnice</t>
  </si>
  <si>
    <t>Rozpočet mesta Trnava na roky 2010 - 2012</t>
  </si>
  <si>
    <t>špeciálny stavebný úrad pre miestne komunikácie a účelové komun.</t>
  </si>
  <si>
    <t>Rozvojový projekt na podporu malého a stredného podnikania</t>
  </si>
  <si>
    <t>granty na Mestský ples</t>
  </si>
  <si>
    <t>granty na DIV</t>
  </si>
  <si>
    <t>granty na Trnavský jazzyk</t>
  </si>
  <si>
    <t>ÚPSVaR -  aktivačná činnosť ZŠ</t>
  </si>
  <si>
    <t>Športový areál Slávia - rekonštrukcia sociálnej budovy (PD + realizácia)</t>
  </si>
  <si>
    <t>Mestský zimný štadión - rekonštrukcia riadiaceho systému chladenia</t>
  </si>
  <si>
    <t>- Nákup DHM</t>
  </si>
  <si>
    <t>Športový areál Modranka - doplnenie strojového parku pre údržbu trávnika</t>
  </si>
  <si>
    <t>Športový areál J. Slottu 45 - vretenová kosačka</t>
  </si>
  <si>
    <t>MAŠ A. Hajmássyho - prístrešok + prekážky</t>
  </si>
  <si>
    <t>Civilná ochrana</t>
  </si>
  <si>
    <t>SLUŽBY</t>
  </si>
  <si>
    <t>Zber, preprava a zneškodnenie odpadov</t>
  </si>
  <si>
    <t>Energie</t>
  </si>
  <si>
    <t>Sociálne pohreby</t>
  </si>
  <si>
    <t>Starostlivosť o hroby významných osobností</t>
  </si>
  <si>
    <t>Opravy chodníkov na cintorínoch</t>
  </si>
  <si>
    <t xml:space="preserve">Menšie obecné služby </t>
  </si>
  <si>
    <t>Starostlivosť o odchytené zvieratá</t>
  </si>
  <si>
    <t>Inštalovanie vianočných stromov</t>
  </si>
  <si>
    <t>Rekreačný areál Kamenný mlyn</t>
  </si>
  <si>
    <t>Vianočné trhy</t>
  </si>
  <si>
    <t>Výdavky zo zisku TTJ</t>
  </si>
  <si>
    <t xml:space="preserve">Výdavky TTJ </t>
  </si>
  <si>
    <t>Iné služby</t>
  </si>
  <si>
    <t>Cintorín v Modranke</t>
  </si>
  <si>
    <t>9.1.2.4.</t>
  </si>
  <si>
    <t>Projektová dokumentácia základných škôl</t>
  </si>
  <si>
    <t>Športový areál Modranka - detské ihrisko</t>
  </si>
  <si>
    <t>Futbalové ihrisko Rybníková - rotačná kosa</t>
  </si>
  <si>
    <t>- Kronika mesta</t>
  </si>
  <si>
    <t>- Trnavské zborové dni</t>
  </si>
  <si>
    <t>- softvérové vybavenie</t>
  </si>
  <si>
    <t>- Propagácia prostredníctvom audiotechniky (multimediálne CD)</t>
  </si>
  <si>
    <t>Cintorín na Kamennej ceste</t>
  </si>
  <si>
    <t>ČISTENIE A ÚDRŽBA</t>
  </si>
  <si>
    <t>Čistenie a zimná údržba miestnych komunikácií</t>
  </si>
  <si>
    <t>TRHY</t>
  </si>
  <si>
    <t>CINTORÍNSKE SLUŽBY</t>
  </si>
  <si>
    <t>- rozšírenie cintorína</t>
  </si>
  <si>
    <t>- prekládka vodovodnej trasy + odkanalizovanie</t>
  </si>
  <si>
    <t>KULTÚRA</t>
  </si>
  <si>
    <t>11.1</t>
  </si>
  <si>
    <t>11.1.1</t>
  </si>
  <si>
    <t xml:space="preserve">Príspevok pre SKaŠZ </t>
  </si>
  <si>
    <t>Náhrada za nemoc</t>
  </si>
  <si>
    <t>Odmeny pri životných jubileách</t>
  </si>
  <si>
    <t>Členské v medzinárodnej sieti opevnených miest Walled Towns</t>
  </si>
  <si>
    <t>Príspevok na činnosť automobilového klastra</t>
  </si>
  <si>
    <t>Príspevok na činnosť energo-klastra</t>
  </si>
  <si>
    <t>Príspevok - Regionálne inovačné centrum Trnava</t>
  </si>
  <si>
    <t>Príspevok- Regionálne technologické združenie</t>
  </si>
  <si>
    <t>Kultúrne dedičstvo</t>
  </si>
  <si>
    <t>Ochrana a obnova kultúrnych pamiatok</t>
  </si>
  <si>
    <t>11.2</t>
  </si>
  <si>
    <t>11.2.1</t>
  </si>
  <si>
    <t>11.2.2</t>
  </si>
  <si>
    <t>KULTÚRNO-UMELECKÉ AKTIVITY</t>
  </si>
  <si>
    <t>SPRÁVA KULTÚRNYCH ZARIADENÍ A PAMIATOK</t>
  </si>
  <si>
    <t>- terénne úpravy okolia dómu sv. Mikuláša</t>
  </si>
  <si>
    <t>- výskumné práce na pamiatkových objektoch a územiach</t>
  </si>
  <si>
    <t>- Obnova hradobného systému</t>
  </si>
  <si>
    <t>11.1.1.1</t>
  </si>
  <si>
    <t>11.1.1.2</t>
  </si>
  <si>
    <t>- Pamiatková obnova severnej časti východného úseku hradobného systému</t>
  </si>
  <si>
    <t>- Mestské opevnenie - časť severného úseku medzi ulicami Jerichova - Hornopotočná</t>
  </si>
  <si>
    <t>Zariadenie na zhodnotenie odpadov Trnava 2. etapa výstavby</t>
  </si>
  <si>
    <t>Kompostáreň Trnava - obnova strojového parku</t>
  </si>
  <si>
    <t>- príspevok z úradu práce</t>
  </si>
  <si>
    <t>Nákup čistiacej techniky miestnych komunikácií</t>
  </si>
  <si>
    <t>- rekonštrukcia chodníka</t>
  </si>
  <si>
    <t>- rekonštrukcia domu smútku</t>
  </si>
  <si>
    <t>- DISK (nová položka)</t>
  </si>
  <si>
    <t>- Trnafčan (nová položka)</t>
  </si>
  <si>
    <t>Projekt prezentácie Rotundy</t>
  </si>
  <si>
    <t>Rozpočet 2009 po                             4. aktualizácii</t>
  </si>
  <si>
    <t>2010</t>
  </si>
  <si>
    <t>Rozpočet 2009 po                    4. aktualizácii</t>
  </si>
  <si>
    <t>- Mestský amfiteáter - dobudovanie sociálnych zariadení - PD + realizácia</t>
  </si>
  <si>
    <t>- Kino Hviezda</t>
  </si>
  <si>
    <t>- rekonštrukcia 2. etapa - projektová dokumentácia</t>
  </si>
  <si>
    <t>- výmena okien</t>
  </si>
  <si>
    <t>- digitálny premietací prístroj</t>
  </si>
  <si>
    <t>- klimatizačná jednotka do premietarne</t>
  </si>
  <si>
    <t>Športový areál Slávia - rekonštrukcia sociálnych zariadení v telocvični</t>
  </si>
  <si>
    <t>Športový areál J. Slottu 45 - viacúčelové ihrisko pre verejnosť</t>
  </si>
  <si>
    <t>Mestská športová hala - zosilovač ozvučenia</t>
  </si>
  <si>
    <t>Kúpalisko Castiglione - dýchací prístroj</t>
  </si>
  <si>
    <t>Štadión A. Malatinského - krovinorez</t>
  </si>
  <si>
    <t>Športový areál Modranka - kolkáreň - prenosné kontajnery</t>
  </si>
  <si>
    <t>Športový areál Modranka - kolkáreň - čistič dráh</t>
  </si>
  <si>
    <t>Športový areál Modranka - vretenová kosačka</t>
  </si>
  <si>
    <t>Športový areál Slávia - strojový park</t>
  </si>
  <si>
    <t>MAŠ A. Hajmássyho - tlakový čistič</t>
  </si>
  <si>
    <t>MAŠ A. Hajmássyho - záhradný traktor</t>
  </si>
  <si>
    <t>Plaváreň Zátvor - zateplenie bazénovej časti</t>
  </si>
  <si>
    <t>Plaváreň Zátvor - kotolňa - projektová dokumentácia</t>
  </si>
  <si>
    <t>Mestská športová hala - prístavba zázemia pre účinkujúcich - realizácia</t>
  </si>
  <si>
    <t>Mestská športová hala - zateplenie objektu - PD + realizácia (ukončenie v roku 2013)</t>
  </si>
  <si>
    <t>Kúpalisko Castiglione - rozšírenie areálu - PD + realizácia</t>
  </si>
  <si>
    <t>Kúpalisko Castiglione - prestavba soc.-prev. budovy (Lok) - PD + realizácia</t>
  </si>
  <si>
    <t>Futbalové ihriská Rybníková - oplotenie futbalového ihriska č. 5 - PD + realizácia</t>
  </si>
  <si>
    <t>Futbalové ihriská Rybníková - nadstavba šatní pre futbalistov - PD (ukončenie v roku 2013)</t>
  </si>
  <si>
    <t>Športový areál Slávia - zateplenie telocvične (severná a východná fasáda) - realizácia</t>
  </si>
  <si>
    <t>Športový areál Slávia - odkanalizovanie asfaltovej dráhy</t>
  </si>
  <si>
    <t>Športový areál J. Slottu 45 - automatizované zavlažovanie - PD + realizácia</t>
  </si>
  <si>
    <t>Mestský zimný štadión - rekonštrukcia - dokončenie (prebieha od roku 2006)</t>
  </si>
  <si>
    <t>Mestský zimný štadión - automatizácia výmenníkovej stanice - PD + realizácia</t>
  </si>
  <si>
    <t>Plaváreň Zátvor - prístupové turnikety</t>
  </si>
  <si>
    <t>Mestská športová hala - športové náradie</t>
  </si>
  <si>
    <t>Mestská športová hala - interiérové vybavenie klubovní a V.I.P.</t>
  </si>
  <si>
    <t>Mestská športová hala - kosačka</t>
  </si>
  <si>
    <t>Mestský zimný štadión - svetelná tabuľa</t>
  </si>
  <si>
    <t>Mestský zimný štadión - rolba</t>
  </si>
  <si>
    <t>- bezbariérové WC</t>
  </si>
  <si>
    <t>- podlaha v S1</t>
  </si>
  <si>
    <t>- oprava izolácie v kaplnke</t>
  </si>
  <si>
    <t>Chata - rekonštrukcia</t>
  </si>
  <si>
    <t>17.2.2.3</t>
  </si>
  <si>
    <t>Rozpočet 2009                          4. aktualizácia</t>
  </si>
  <si>
    <t>Rozširovanie a realizácia nového VO</t>
  </si>
  <si>
    <t xml:space="preserve">    - rek. Stropu obradnej siene</t>
  </si>
  <si>
    <t xml:space="preserve">   - zostatok nepoužitých vlastných príjmov z roku 2008</t>
  </si>
  <si>
    <t>- tvorba úspor detí v DaD (v zmysle zákona č. 305/2005 Z. z.)</t>
  </si>
  <si>
    <t>Zariadenie pre seniorov v Trnave</t>
  </si>
  <si>
    <t>- úprava spoločných priestorov, pivničné priestory</t>
  </si>
  <si>
    <t>Zariadenie pre seniorov v Trnave, ul. T. Vansovej - rekoštrukcia a modernizácia</t>
  </si>
  <si>
    <t>- Kultúrny dom Modranka - oprava strechy (PD + realizácia)</t>
  </si>
  <si>
    <t>- Archeologický výskum Rotundy</t>
  </si>
  <si>
    <t>- Stavebno-historický prieskum Rotundy</t>
  </si>
  <si>
    <t>- Projekt prezentácie Rotundy</t>
  </si>
  <si>
    <t>11.2.1.1</t>
  </si>
  <si>
    <t>11.2.1.2</t>
  </si>
  <si>
    <t>- Prírodné kino - dobudovanie kanalizácie</t>
  </si>
  <si>
    <t>- Kultúrny dom Modranka - výmena okien a dverí</t>
  </si>
  <si>
    <t>- Mestská veža</t>
  </si>
  <si>
    <t>Chodník Ustianska</t>
  </si>
  <si>
    <t xml:space="preserve">- Správa kultúrnych a športových zariadení </t>
  </si>
  <si>
    <t>Kultúrne podujatia</t>
  </si>
  <si>
    <t>- Koncerty vážnej hudby</t>
  </si>
  <si>
    <t>- Trnavské organové dni</t>
  </si>
  <si>
    <t>- Schneidrova Trnava</t>
  </si>
  <si>
    <t>- Koncerty populárnej hudby</t>
  </si>
  <si>
    <t>- Kultúrne leto (Dychovky, Kinematograf)</t>
  </si>
  <si>
    <t>- Radničné hry</t>
  </si>
  <si>
    <t>Ekofond - Projekt "Rekonštrukcia a modernizácia vykurovacieho systému - radnica Trnava"</t>
  </si>
  <si>
    <t>Environm. fond - Kompostáreň Trnava - obnova strojového parku</t>
  </si>
  <si>
    <t>- Literárno-dramatické podujatia</t>
  </si>
  <si>
    <t>- Libriáda</t>
  </si>
  <si>
    <t xml:space="preserve">- Trnavské dni - láska, pokoj, porozumenie </t>
  </si>
  <si>
    <t>- Zvykoslovia (vystúpenie Lúčnice)</t>
  </si>
  <si>
    <t>- Novoročný ohňostroj</t>
  </si>
  <si>
    <t>- Dobrofest</t>
  </si>
  <si>
    <t>- Poplatky do SOZA, LITA ...</t>
  </si>
  <si>
    <t>- Reprezentačný ples mesta</t>
  </si>
  <si>
    <t>- Ostatné výdavky</t>
  </si>
  <si>
    <t>- Trnavský jazzyk</t>
  </si>
  <si>
    <t>- Trnavské záhradné slávnosti</t>
  </si>
  <si>
    <t xml:space="preserve">- DIV </t>
  </si>
  <si>
    <t>- ZOOM + (medzinárodná acappella festival)</t>
  </si>
  <si>
    <t>- TRNky-BRNky</t>
  </si>
  <si>
    <t>- arTOWN</t>
  </si>
  <si>
    <t>- Rok mesta Trnavy</t>
  </si>
  <si>
    <t>12.1</t>
  </si>
  <si>
    <t>12.1.1</t>
  </si>
  <si>
    <t>Cestovný ruch</t>
  </si>
  <si>
    <t>12.1.1.1</t>
  </si>
  <si>
    <t>Dni európskeho dedičstva - poplatok</t>
  </si>
  <si>
    <t>Na sprievodcovské činnosti a za sprístupnenie kostolov</t>
  </si>
  <si>
    <t>- Správa Strediska sociálnej starostlivosti - nákup úžitkového vozidla</t>
  </si>
  <si>
    <t>PROJEKTY - kapitálové výdavky - podľa priority presunuté pod čiaru (akceptovať v prípade finančných zdrojov):</t>
  </si>
  <si>
    <t>Trnavská karta - vlastné zdroje</t>
  </si>
  <si>
    <t>Inteligentné dopravné systémy (IDS)</t>
  </si>
  <si>
    <t>- Malometrážne byty Clementisova - tepelnoizolačné opláštenie budovy</t>
  </si>
  <si>
    <t>- Zdravotné stredisko Mozartova - vybudovanie bezbariérového vstupu, detská časť</t>
  </si>
  <si>
    <t>- Mestská poliklinika Starohájska</t>
  </si>
  <si>
    <t>Projekty</t>
  </si>
  <si>
    <t>- Vyhrňme si rukávy</t>
  </si>
  <si>
    <t xml:space="preserve">- ZŠ Spartakovská </t>
  </si>
  <si>
    <t>Rekonštrukcia sociálnych zariadení v pavilóne B</t>
  </si>
  <si>
    <t>Výmena okien v telocvični</t>
  </si>
  <si>
    <t>- MŠ Spartakovská 10 - rekonštrukcia MŠ</t>
  </si>
  <si>
    <t xml:space="preserve">- ZŠ Atómová </t>
  </si>
  <si>
    <t>PD strešných konštrukcií</t>
  </si>
  <si>
    <t>Rekonštrukcia strechy - pavilón C</t>
  </si>
  <si>
    <t>Rekonštrukcia striech - pavilón B, C</t>
  </si>
  <si>
    <t>Výmena okien - pavilón A</t>
  </si>
  <si>
    <t>- ZŠ Nám. SUT</t>
  </si>
  <si>
    <t xml:space="preserve">Rekonštrukcia elektroinštalácie </t>
  </si>
  <si>
    <t>Rekonštrukcia strešnej konštrukcie</t>
  </si>
  <si>
    <t>- ZŠ s MŠ Modranka</t>
  </si>
  <si>
    <t>Rekonštrukcia elektroinštalácií v pavilóne B</t>
  </si>
  <si>
    <t>Oprava vstupného chodníka</t>
  </si>
  <si>
    <t>Rekonštrukcia učební na II. NP - pavilón A</t>
  </si>
  <si>
    <t>Rekonštrukcia podl. pavilón A</t>
  </si>
  <si>
    <t>- ZUŠ M. Sch. Trnavského</t>
  </si>
  <si>
    <t>Výmena okien na priečelí objektu</t>
  </si>
  <si>
    <t>Výmena okien v átriu objektu</t>
  </si>
  <si>
    <t>Rekonštrukcia časti strešnej konštrukcie mešt. domu</t>
  </si>
  <si>
    <t>- ZŠ A. Kubinu</t>
  </si>
  <si>
    <t>Rekonštrukcia strechy - PD + realizácia</t>
  </si>
  <si>
    <t>Podložie prístupového chodníka - rekonštrukcia</t>
  </si>
  <si>
    <t>- ZŠ Gorkého</t>
  </si>
  <si>
    <t>Objekt polytechnickej výchovy - PD</t>
  </si>
  <si>
    <t>- ZŠ Limbova - rekonštrukcia strechy - PD</t>
  </si>
  <si>
    <t>- ZŠ J. Bottu</t>
  </si>
  <si>
    <t>Rekonštrukcia sociálnych zariadení</t>
  </si>
  <si>
    <t>Školské ihrisko - PD</t>
  </si>
  <si>
    <t>- ZŠ Vančurova</t>
  </si>
  <si>
    <t>Statika - pavilón B</t>
  </si>
  <si>
    <t>Rekonštrukcia strechy pavilón B</t>
  </si>
  <si>
    <t>PROJEKTY</t>
  </si>
  <si>
    <t>Nájomný bytový dom 24 b.j. s nižším štandardom - projektová dokumentácia</t>
  </si>
  <si>
    <t>Nájomný bytový dom 24 b.j. s nižším štandardom - realizácia</t>
  </si>
  <si>
    <t>BYTOVÁ VÝSTAVBA + PROJEKTY</t>
  </si>
  <si>
    <t>bežné výdavky</t>
  </si>
  <si>
    <t>kapitálové výdavky</t>
  </si>
  <si>
    <t>Rekonštrukcia a modernizácia verejného osvetlenia v obytných súboroch Prednádražie a Hlboká</t>
  </si>
  <si>
    <t>Σ Akcie pod čiarou</t>
  </si>
  <si>
    <t>VEREJNÉ OSVETLENIE + PROJEKTY</t>
  </si>
  <si>
    <r>
      <t xml:space="preserve">Rekonštrukcia verejného osvetlenia </t>
    </r>
    <r>
      <rPr>
        <b/>
        <sz val="10"/>
        <rFont val="Times New Roman"/>
        <family val="1"/>
      </rPr>
      <t>(r. 2010 nám. SNP)</t>
    </r>
  </si>
  <si>
    <r>
      <t xml:space="preserve">Rozširovanie a realizácia nového verejného osvetlenia </t>
    </r>
    <r>
      <rPr>
        <b/>
        <sz val="10"/>
        <rFont val="Times New Roman"/>
        <family val="1"/>
      </rPr>
      <t>(r. 2010 1. časť Nitrianska ul., Jerichova ul.)</t>
    </r>
  </si>
  <si>
    <t>Priestory pre MŠ Hollého - PD + realizácia + detské ihrisko</t>
  </si>
  <si>
    <t>Parkovisko a chodník</t>
  </si>
  <si>
    <t>- Umelecká činnosť a kultúrne aktivity</t>
  </si>
  <si>
    <t>- Festival Lumen</t>
  </si>
  <si>
    <t>- Trnavské mestské zbory</t>
  </si>
  <si>
    <t>- Trnavský komorný orchester</t>
  </si>
  <si>
    <t>- Trienále plagátu</t>
  </si>
  <si>
    <t>Prídavky na deti</t>
  </si>
  <si>
    <t>- výdavky z vlastných príjmov</t>
  </si>
  <si>
    <t>Výdavky z vlastných príjmov škôl</t>
  </si>
  <si>
    <t>9.1.2.9</t>
  </si>
  <si>
    <t>- vlastné zdroje</t>
  </si>
  <si>
    <t>- grantové zdroje</t>
  </si>
  <si>
    <t>MESTSKÁ AUTOBUSOVÁ DOPRAVA</t>
  </si>
  <si>
    <t>- školy</t>
  </si>
  <si>
    <t>- školský úrad</t>
  </si>
  <si>
    <t>- dotácia MF SR</t>
  </si>
  <si>
    <t>- výdavky zo zdrojov mesta</t>
  </si>
  <si>
    <t>1</t>
  </si>
  <si>
    <t>2</t>
  </si>
  <si>
    <t>3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</si>
  <si>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</si>
  <si>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</si>
  <si>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</si>
  <si>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</si>
  <si>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</si>
  <si>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</si>
  <si>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</si>
  <si>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</si>
  <si>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</si>
  <si>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</si>
  <si>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</si>
  <si>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</si>
  <si>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</si>
  <si>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</si>
  <si>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</si>
  <si>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21.1</t>
  </si>
  <si>
    <t>Dane a odvody</t>
  </si>
  <si>
    <t>Poistenie</t>
  </si>
  <si>
    <t xml:space="preserve">Náklady na inzerciu                                            </t>
  </si>
  <si>
    <t xml:space="preserve">Nájomné za prenajaté pozemky                           </t>
  </si>
  <si>
    <t xml:space="preserve">Znalecké posudky                                             </t>
  </si>
  <si>
    <t xml:space="preserve">Náklady na geodetické práce                             </t>
  </si>
  <si>
    <t xml:space="preserve">Servisné práce pre oblasť investícií </t>
  </si>
  <si>
    <t>Vrátenie príjmov z minulých rokov</t>
  </si>
  <si>
    <t>Poplatky za správu majetku</t>
  </si>
  <si>
    <t>Poplatok za zabezpečenie predaja bytov</t>
  </si>
  <si>
    <t>Príspevky do fondu opráv a údržby</t>
  </si>
  <si>
    <t>Opravy a údržba majetku</t>
  </si>
  <si>
    <t>Deratizácia priestorov</t>
  </si>
  <si>
    <t>Výdavky na prenesený výkon štátnej správy</t>
  </si>
  <si>
    <t>- matrika</t>
  </si>
  <si>
    <t>- evidencia obyvateľstva</t>
  </si>
  <si>
    <t>- Prístrešky a zastávky MAD</t>
  </si>
  <si>
    <t>Agenda ŠFRB</t>
  </si>
  <si>
    <t>PRENESENÝ VÝKON ŠTÁTNEJ SPRÁVY</t>
  </si>
  <si>
    <t>- Humanizácia obytných súborov</t>
  </si>
  <si>
    <t>Humanizácia OS Prednádražie II (DSP 2. a 3. etapa)</t>
  </si>
  <si>
    <t>Humanizácia OS Linčianska</t>
  </si>
  <si>
    <t>Pasport zelene</t>
  </si>
  <si>
    <t>ÚZEMNOPLÁNOVACIE DOKUMENTÁCIE A ŠTÚDIE</t>
  </si>
  <si>
    <t>Stavebný úrad</t>
  </si>
  <si>
    <t>Starostlivosť o životné prostredie</t>
  </si>
  <si>
    <t>Výsadba stromov</t>
  </si>
  <si>
    <t>Výsadba zelene</t>
  </si>
  <si>
    <t>OBNOVA BUDOV</t>
  </si>
  <si>
    <t>- opravy nábytku, strojov, zariadení</t>
  </si>
  <si>
    <t>- skrinky VMČ</t>
  </si>
  <si>
    <t>- opravy budov</t>
  </si>
  <si>
    <t>17.1.1.6</t>
  </si>
  <si>
    <t>17.1.2</t>
  </si>
  <si>
    <t>- vybudovanie podružného merania elektrickej energie</t>
  </si>
  <si>
    <t>- rekonštrukcia bočných vchodových dverí</t>
  </si>
  <si>
    <t>- rekonštrukcia a modernizácia zdravotníckej infraštruktúry</t>
  </si>
  <si>
    <t>- hydraulické vyregulovanie sústavy ÚK a TÚV</t>
  </si>
  <si>
    <t>- Ubytovňa Coburgova - vybudovanie bezbariérového vstupu - ZOS Coburgova</t>
  </si>
  <si>
    <t>Program podpory komunitno-sociálnych pracovníkov</t>
  </si>
  <si>
    <t>ADMINISTRATÍVA</t>
  </si>
  <si>
    <t>Dlhová služba</t>
  </si>
  <si>
    <t>- ozvučovací systém</t>
  </si>
  <si>
    <t>- model mesta</t>
  </si>
  <si>
    <t>- služobné vozidlo</t>
  </si>
  <si>
    <t>SPRÁVA ÚRADU</t>
  </si>
  <si>
    <t xml:space="preserve">- štúdie a prieskumy </t>
  </si>
  <si>
    <t xml:space="preserve">- generálny dopravný plán </t>
  </si>
  <si>
    <t>- opravy miestnych komunikácií a parkovacích plôch</t>
  </si>
  <si>
    <t>- opravy chodníkov</t>
  </si>
  <si>
    <t>- čistenie kanalizačných vpustov a olejových lapolov</t>
  </si>
  <si>
    <t>- údržba a opravy súčastí miestnych komunikácií</t>
  </si>
  <si>
    <t>- bezbariérová úprava chodníkov</t>
  </si>
  <si>
    <t>- úprava lávky pre peších Starohájska ulica</t>
  </si>
  <si>
    <t>- údržba prístreškov MAD</t>
  </si>
  <si>
    <t>- havarijný fond</t>
  </si>
  <si>
    <t>- oprava cestnej svetelnej signalizácie križovatiek</t>
  </si>
  <si>
    <t>- údržba a oprava vodorovného a zvislého dopravného značenia</t>
  </si>
  <si>
    <t xml:space="preserve">- prevádzka a servis parkovacích automatov  </t>
  </si>
  <si>
    <t>- nákup termopapiera</t>
  </si>
  <si>
    <t>Výbory mestských častí</t>
  </si>
  <si>
    <t xml:space="preserve">Doplatenie projektovej dokumentácie vypracovanej v predošlom roku </t>
  </si>
  <si>
    <t>Cyklochodník Zelenečská</t>
  </si>
  <si>
    <t>Cyklochodník PSA - spoluinvestorstvo</t>
  </si>
  <si>
    <t>Rekonštrukcia priestoru pred OD Jednota - Dolnopotočná ulica</t>
  </si>
  <si>
    <t>Rekonštrukcie povrchov parkovísk</t>
  </si>
  <si>
    <t>Realizácia nových parkovísk</t>
  </si>
  <si>
    <t>- Mestský informačno-navigačný systém (MINS)</t>
  </si>
  <si>
    <t>Dotácia na Mestskú autobusovú dopravu</t>
  </si>
  <si>
    <t>v eurách</t>
  </si>
  <si>
    <t>2.1.</t>
  </si>
  <si>
    <t>2.1.1.</t>
  </si>
  <si>
    <t>2.1.1.1.</t>
  </si>
  <si>
    <t>2.1.1.2.</t>
  </si>
  <si>
    <t>2.1.1.3.</t>
  </si>
  <si>
    <t>2.1.2.</t>
  </si>
  <si>
    <t>2.2.</t>
  </si>
  <si>
    <t>2.2.2.</t>
  </si>
  <si>
    <t>2.2.2.1.</t>
  </si>
  <si>
    <t>2.2.2.2.</t>
  </si>
  <si>
    <t>2.3.</t>
  </si>
  <si>
    <t>2.3.1.</t>
  </si>
  <si>
    <t>2.3.2.</t>
  </si>
  <si>
    <t>2.4.</t>
  </si>
  <si>
    <t>2.4.1.</t>
  </si>
  <si>
    <t>- základná údržba zelene</t>
  </si>
  <si>
    <t>- údržba PSA</t>
  </si>
  <si>
    <t>- úržba nových investičných akcií</t>
  </si>
  <si>
    <t>- deratizácia zelene</t>
  </si>
  <si>
    <t>- sanácie, asanácie a havarijné stavy drevín</t>
  </si>
  <si>
    <t>- údržba interiérových kvetov</t>
  </si>
  <si>
    <t>HUMANIZÁCIE OBYTNÝCH SÚBOROV</t>
  </si>
  <si>
    <t>- Zeleň športovo-rekreačných plôch</t>
  </si>
  <si>
    <t>Doplatok projektovej dokumentácie z predchádzajúceho roku</t>
  </si>
  <si>
    <t>Parčík za Daňovým úradom</t>
  </si>
  <si>
    <t>3.1.</t>
  </si>
  <si>
    <t>3.2.</t>
  </si>
  <si>
    <t>Účelová finančná rezerva na uzavretie, rekultiváciu a monitoring skládky odpadu</t>
  </si>
  <si>
    <t>Skládka komunálneho odpadu Trnava Zavarská cesta - PD (4.kazeta)</t>
  </si>
  <si>
    <t>4.1.</t>
  </si>
  <si>
    <t>4.2.</t>
  </si>
  <si>
    <t>- Etapa A - projektová dokumentácia - vlastné zdroje</t>
  </si>
  <si>
    <t>5.1.</t>
  </si>
  <si>
    <t>5.2.</t>
  </si>
  <si>
    <t>Požiadavky Výborov mestských častí</t>
  </si>
  <si>
    <t>6.1.</t>
  </si>
  <si>
    <t>6.2.</t>
  </si>
  <si>
    <t>Uličné tabule a vlajky</t>
  </si>
  <si>
    <t>7.1.1.</t>
  </si>
  <si>
    <t>7.2.1.</t>
  </si>
  <si>
    <t>7.2.2.</t>
  </si>
  <si>
    <t>7.3.1.</t>
  </si>
  <si>
    <t xml:space="preserve">- čistenie miestnych komunikácií </t>
  </si>
  <si>
    <t xml:space="preserve">- zimná údržba miestnych komunikácií </t>
  </si>
  <si>
    <t>Cintorín na ulici Terézie Vansovej</t>
  </si>
  <si>
    <t>- rekonštrukcia verejného WC</t>
  </si>
  <si>
    <t>8.1.1.</t>
  </si>
  <si>
    <t>8.1.1.1.</t>
  </si>
  <si>
    <t>8.1.1.2.</t>
  </si>
  <si>
    <t>8.1.1.3.</t>
  </si>
  <si>
    <t>8.1.1.4.</t>
  </si>
  <si>
    <t>8.1.1.5.</t>
  </si>
  <si>
    <t>8.2.1.</t>
  </si>
  <si>
    <t>8.2.1.1.</t>
  </si>
  <si>
    <t>8.2.1.2.</t>
  </si>
  <si>
    <t>8.2.2.</t>
  </si>
  <si>
    <t>8.2.2.1.</t>
  </si>
  <si>
    <t>8.3.1.</t>
  </si>
  <si>
    <t>8.3.1.1.</t>
  </si>
  <si>
    <t>8.3.1.2.</t>
  </si>
  <si>
    <t xml:space="preserve">Príspevok pre Stredisko sociálnej starostlivosti </t>
  </si>
  <si>
    <t>9.1.1.</t>
  </si>
  <si>
    <t>9.1.1.1.</t>
  </si>
  <si>
    <t>9.1.1.2.</t>
  </si>
  <si>
    <t>9.1.1.3.</t>
  </si>
  <si>
    <t>- ZUŠ Hollého 8, Trnava</t>
  </si>
  <si>
    <t>- Neštátne školy a školské zariadenia</t>
  </si>
  <si>
    <t>9.1.2.1.</t>
  </si>
  <si>
    <t>9.1.2.2.</t>
  </si>
  <si>
    <t>9.1.2.3.</t>
  </si>
  <si>
    <t>Skutočnosť 2007</t>
  </si>
  <si>
    <t>Skutočnosť 2008</t>
  </si>
  <si>
    <r>
      <t xml:space="preserve">Návrh na rozpočet </t>
    </r>
    <r>
      <rPr>
        <b/>
        <sz val="12"/>
        <color indexed="20"/>
        <rFont val="Times New Roman"/>
        <family val="1"/>
      </rPr>
      <t>2012</t>
    </r>
  </si>
  <si>
    <r>
      <t xml:space="preserve">Návrh na rozpočet </t>
    </r>
    <r>
      <rPr>
        <b/>
        <sz val="12"/>
        <color indexed="20"/>
        <rFont val="Times New Roman"/>
        <family val="1"/>
      </rPr>
      <t>2011</t>
    </r>
  </si>
  <si>
    <r>
      <t xml:space="preserve">Návrh na rozpočet </t>
    </r>
    <r>
      <rPr>
        <b/>
        <sz val="12"/>
        <color indexed="20"/>
        <rFont val="Times New Roman"/>
        <family val="1"/>
      </rPr>
      <t>2010</t>
    </r>
  </si>
  <si>
    <t>- dopravné prieskumy</t>
  </si>
  <si>
    <t>- ľahké dvojpodlažné parkovisko (Na hlinách, Čajkovského)</t>
  </si>
  <si>
    <t>Rekonštrukcia miestnej komunikácie Severná</t>
  </si>
  <si>
    <t>Rekonštrukcia miestnej komunikácie Hraničná</t>
  </si>
  <si>
    <t>Rekonštrukcia miestnej komunikácie Olivová</t>
  </si>
  <si>
    <t>Výstavba južného obchvatu</t>
  </si>
  <si>
    <t>Ostatné parkoviská</t>
  </si>
  <si>
    <t>Rekonštrukcia miestnej komunikácie ulica Veterná</t>
  </si>
  <si>
    <t>Komunikačné prepojenie ulíc Dolnopotočná - Veselá</t>
  </si>
  <si>
    <t>Rekonštrukcia miestnej komunikácie J. Hajdóczyho</t>
  </si>
  <si>
    <t>EÚ - Nákup čistiacej techniky miestnych komunikácií</t>
  </si>
  <si>
    <t>- Odmeny z fondu odmien schváleného v MZ pre štatut.zástupcov mesta</t>
  </si>
  <si>
    <t>- Odmeny z fondu odmien schváleného v MZ pre útvar hlavného kontrolóra</t>
  </si>
  <si>
    <t>- Odmeny z fondu odmien schváleného v MZ pre zamestnancov</t>
  </si>
  <si>
    <t>Realizácia chodníkov menších plôch a úprava bezbariérovosti</t>
  </si>
  <si>
    <t>Chodník Veterná 6 - 7</t>
  </si>
  <si>
    <t>Cyklochodník ulica Terézie Vansovej</t>
  </si>
  <si>
    <t>- Zastávka MAD - úprava Seredskej ulice 2. etapa</t>
  </si>
  <si>
    <t>Prepojovací chodník ulíc Bottova a Botanická</t>
  </si>
  <si>
    <t>Parkovisko Hlboká 11</t>
  </si>
  <si>
    <t>Parkovisko Veterná 28 - 30</t>
  </si>
  <si>
    <t>Výstavba južnej komunikácie</t>
  </si>
  <si>
    <t>- Trnavská F3J o pohár primátora rádiom riadených leteckých modelov</t>
  </si>
  <si>
    <t>Športový areál Slávia - rekonštrukcia šatní v telocvični - dokončenie</t>
  </si>
  <si>
    <t>Mestská športová hala - koberec</t>
  </si>
  <si>
    <t>- Športová areál FK Lokomotíva v Trnave</t>
  </si>
  <si>
    <t>- Štadión A. Malatinského</t>
  </si>
  <si>
    <t>Granty</t>
  </si>
  <si>
    <t>- Príredné kino - detské ihrisko - dokončenie</t>
  </si>
  <si>
    <t>- Záhradné slávnosti</t>
  </si>
  <si>
    <t>- výskum Dómu sv. Mikuláša</t>
  </si>
  <si>
    <t>- projekt ADHOC</t>
  </si>
  <si>
    <t>- projekt Adalbertínum</t>
  </si>
  <si>
    <t>- archeologický výskum Kalvárie</t>
  </si>
  <si>
    <t>Európske hlavné mesto</t>
  </si>
  <si>
    <t>Propagačné materiály</t>
  </si>
  <si>
    <t>Informačné plagáty</t>
  </si>
  <si>
    <t>Aktivity Združenia historických miest a obcí SR</t>
  </si>
  <si>
    <t>Aktivity v rámci združenia Malokarpatská vínna cesta</t>
  </si>
  <si>
    <t>- Mestská televízia Trnava s.r.o.</t>
  </si>
  <si>
    <t>Mestská televízia Trnava s.r.o.</t>
  </si>
  <si>
    <t>Ocenenia mesta</t>
  </si>
  <si>
    <t>Parkovisko Jiráskova 17 - 21</t>
  </si>
  <si>
    <t>Prestavba križovatky Špačinská - Kukučínová - Na hlinách na okružnú</t>
  </si>
  <si>
    <t>Úprava krajnice Sereďská (Modranka) - vpuste</t>
  </si>
  <si>
    <t>Búracie práce</t>
  </si>
  <si>
    <t>Skládka komunálneho odpadu Trnava</t>
  </si>
  <si>
    <t>- zateplenie objektu a výmena okien</t>
  </si>
  <si>
    <t>Oplotenie nájomného bytového domu na Coburgovej ulici</t>
  </si>
  <si>
    <t>- PD strechy</t>
  </si>
  <si>
    <t>Výdavky na energie - nájomné bytové domy</t>
  </si>
  <si>
    <t>Náhrada škody</t>
  </si>
  <si>
    <t>Prevádzka osvetlenia štadióna A. Malatinského - energia</t>
  </si>
  <si>
    <t>Prístrešky a zastávky MAD</t>
  </si>
  <si>
    <t>Stojiská na kontajnery</t>
  </si>
  <si>
    <t>Osadenie vianočného stromčeka</t>
  </si>
  <si>
    <t>Rekonštrukcie fontán</t>
  </si>
  <si>
    <t>Informačné centrum pre podnikateľov</t>
  </si>
  <si>
    <t>Interiérové vybavenie</t>
  </si>
  <si>
    <t>Projekt Chránené dielne</t>
  </si>
  <si>
    <t>- rozšírenie prekrytia nádvoria cintorína</t>
  </si>
  <si>
    <t>- chodník</t>
  </si>
  <si>
    <t>Chladiaci box do domu smútku</t>
  </si>
  <si>
    <t>- projektová dokumentácia</t>
  </si>
  <si>
    <t>Špeciálny stavebný úrad pre miestne komunikácie a účelové komunikácie</t>
  </si>
  <si>
    <t>Rekonštrukcia parku J. Kráľa</t>
  </si>
  <si>
    <t>8.1.1.6.</t>
  </si>
  <si>
    <t>Vyhotovenie posudkov odkázanosti na sociálnu službu</t>
  </si>
  <si>
    <t>- vybudovanie bezpečnostnotechnického zariadenia budovy</t>
  </si>
  <si>
    <t>- Špeciálna ZŠ Beethovenova - vybudovanie bezbariérového vstupu</t>
  </si>
  <si>
    <t>- Objekt Vančurova - vybudovanie bezbariérového vstupu</t>
  </si>
  <si>
    <t>Kapitálové výdavky - podľa priority presunuté pod čiaru (akceptovať v prípade finančných zdrojov):</t>
  </si>
  <si>
    <t>- DIC Čajkovského - vybudovanie bezbariérového vstupu</t>
  </si>
  <si>
    <t>- výmena podlahoviny</t>
  </si>
  <si>
    <t>- výdavky na 6 zdravotníckych pracovníkov</t>
  </si>
  <si>
    <t>Rekonštrukcia strechy</t>
  </si>
  <si>
    <t>Futbalové miniihrisko</t>
  </si>
  <si>
    <t>Prestavba ZŠ</t>
  </si>
  <si>
    <t>Detské ihrisko</t>
  </si>
  <si>
    <t>Rekonštrukcia 10 triedneho pavilónu</t>
  </si>
  <si>
    <t>Transfery pre TT-KOMFORT s.r.o. na rekonštrukcie škôl</t>
  </si>
  <si>
    <t>Transfery pre školy</t>
  </si>
  <si>
    <t>- oprava strechy</t>
  </si>
  <si>
    <t>- kancelársky nábytok</t>
  </si>
  <si>
    <t>- zariadenia a prístroje</t>
  </si>
  <si>
    <t>- kancelársky materiál</t>
  </si>
  <si>
    <t>- registratúrne stredisko Starohájska</t>
  </si>
  <si>
    <t>- poistenie nehnuteľností vo vlastníctve mesta</t>
  </si>
  <si>
    <t>- poistenie zodpovednosti Mesta Trnava</t>
  </si>
  <si>
    <t>Výdavky pre TT-KOMFORT s.r.o. na správu majetku</t>
  </si>
  <si>
    <t>Odmena podľa mandátnej zmluvy</t>
  </si>
  <si>
    <t>Príspevok TT-KOMFORT s.r.o. - výdavky na dovolenky zamestnancov končiacej PO</t>
  </si>
  <si>
    <t>Príspevok TT-KOMFORT s.r.o. - výdavky za neplatičov obecných bytov</t>
  </si>
  <si>
    <t>Energie - Invest</t>
  </si>
  <si>
    <t xml:space="preserve"> - rekonštrukcia nehnuteľnosti na Malženickej ceste</t>
  </si>
  <si>
    <t>Výdavky súvisiace s poliklinikou Družba</t>
  </si>
  <si>
    <t>- dopracovanie vizualizácie centrálnej mestskej zóny</t>
  </si>
  <si>
    <t>- spracovanie vizualizácie štadióna A. Malatinského</t>
  </si>
  <si>
    <t>- analýza k zmenám a rozvoju GIS</t>
  </si>
  <si>
    <t>- MTT - zabezpečenie priamych prenosov, pripojenie kamerového systému</t>
  </si>
  <si>
    <t>- ZUŠ Mozartova 10, Trnava</t>
  </si>
  <si>
    <t>Prenesený výkon štátnej správy na úseku školstva</t>
  </si>
  <si>
    <t>- výdavky z dotácie na výchovu a vzdelávanie</t>
  </si>
  <si>
    <t>9.1.1.5.</t>
  </si>
  <si>
    <t>Výdavky MŠ z grantov</t>
  </si>
  <si>
    <t>9.1.1.6.</t>
  </si>
  <si>
    <t>Zostatok transferu zo ŠR z prostriedkov ESF</t>
  </si>
  <si>
    <t>9.1.1.7.</t>
  </si>
  <si>
    <t>Zostatok transferu z MŠ SR na projekt "Športové triedy"</t>
  </si>
  <si>
    <t>9.1.1.8.</t>
  </si>
  <si>
    <t>Zostatok grantu pre MŠ na Okružnej ulici</t>
  </si>
  <si>
    <t>9.1.1.9.</t>
  </si>
  <si>
    <t>Zostatok príspevku na výrobu jedla a zo školného</t>
  </si>
  <si>
    <t>9.1.1.10.</t>
  </si>
  <si>
    <t>Zostatok nepoužitých vlastných príjmov z predchádzajúceho roku</t>
  </si>
  <si>
    <t>9.1.1.11.</t>
  </si>
  <si>
    <t>Výdavky na aktivačnú činnosť ZŠ</t>
  </si>
  <si>
    <t>Úprava vonkajšieho terénu - havarijný stav</t>
  </si>
  <si>
    <t>Rekonštrukcia malej telocvične</t>
  </si>
  <si>
    <t>Výdavky z dotácie na výchovu a vzdelávanie MŠ</t>
  </si>
  <si>
    <t>Rekonštrukcia veľkej telocvične</t>
  </si>
  <si>
    <t>Kalokagatia - výmena gamatiek</t>
  </si>
  <si>
    <t>Podpora technického vzdelávania</t>
  </si>
  <si>
    <t>Výchova k národnému povedomiu</t>
  </si>
  <si>
    <t>Spolupráca s obč. združeniami, nadáciami a neinv. fondami</t>
  </si>
  <si>
    <t>iné</t>
  </si>
  <si>
    <t>Rekonštrukcia strechy pavilón A</t>
  </si>
  <si>
    <t>Rekonštrukcia okin</t>
  </si>
  <si>
    <t>Rekonštrukcia športového ihriska - PD</t>
  </si>
  <si>
    <t>Podložie pre miniihrisko - PD</t>
  </si>
  <si>
    <t>Rekonštrukcia plochej strechy so zateplením na južnom pavilóne</t>
  </si>
  <si>
    <t>Rekonštrukcia plochej strechy so zateplením na severnom pavilóne</t>
  </si>
  <si>
    <t>- ZŠ K. Mahra</t>
  </si>
  <si>
    <t>El. prac. Mozartova - rekonštrukcia oplotenia školského areálu</t>
  </si>
  <si>
    <t>Rekonštrukcia okien učebňového pavilónu</t>
  </si>
  <si>
    <t>El. prac. Mozartova - rekonštrukcia sociálnych zariadení</t>
  </si>
  <si>
    <t>Parkovisko - PD + realizácia</t>
  </si>
  <si>
    <t>Rekonštrukcia výdajného miesta školskej kuchyne</t>
  </si>
  <si>
    <t>Rekonštrukcia oplotenia</t>
  </si>
  <si>
    <t>- ZUŠ Hollého - rekonštrukcia WC</t>
  </si>
  <si>
    <t>Výchova umením</t>
  </si>
  <si>
    <t>Rekonštrukcia školskej kuchyne</t>
  </si>
  <si>
    <t>- ZŠ V jame</t>
  </si>
  <si>
    <t>Rekonštrukcia kuchyne</t>
  </si>
  <si>
    <t>Rekonštrukcia palubovky telocvične</t>
  </si>
  <si>
    <t xml:space="preserve">Iné majetkové výdavky </t>
  </si>
  <si>
    <t>Ostatné náklady súvisiace so správou majetku</t>
  </si>
  <si>
    <t>Investičné práce realizované cez TT-KOMFORT s.r.o.</t>
  </si>
  <si>
    <t xml:space="preserve"> - byty na Saleziánskej ulici - statické zabezpečenie</t>
  </si>
  <si>
    <t>Združenie finančných prostriedkov</t>
  </si>
  <si>
    <t xml:space="preserve"> - právne služby MsÚ</t>
  </si>
  <si>
    <t xml:space="preserve"> - právne služby vykonávané TT-KOMFORT s.r.o.</t>
  </si>
  <si>
    <t>- ostatné služby</t>
  </si>
  <si>
    <t>- manká a škody</t>
  </si>
  <si>
    <t>- oprava strechy severného krídla</t>
  </si>
  <si>
    <t>- Iné</t>
  </si>
  <si>
    <t>Aktivity v rámci projektov EÚ a prezentácia mesta</t>
  </si>
  <si>
    <t>12.1.2</t>
  </si>
  <si>
    <t>Referát CR</t>
  </si>
  <si>
    <t>Novinky z radnice</t>
  </si>
  <si>
    <t>Iné médiá</t>
  </si>
  <si>
    <t>Vydanie publikácie DEJINY TRNAVY</t>
  </si>
  <si>
    <t>Spoločenské obrady</t>
  </si>
  <si>
    <t>Výzdoba obradných siení</t>
  </si>
  <si>
    <t>Medzinárodné vzťahy</t>
  </si>
  <si>
    <t>Projekt ekonomického rozvoja</t>
  </si>
  <si>
    <t>Reprezentantačné výdavky (vedenie mesta)</t>
  </si>
  <si>
    <t>Príprava projektov</t>
  </si>
  <si>
    <t>12.2</t>
  </si>
  <si>
    <t>12.2.1</t>
  </si>
  <si>
    <t>VZŤAHY S VEREJNOSŤOU</t>
  </si>
  <si>
    <t>SPOLOČENSKÉ OBRADY A OCENENIA</t>
  </si>
  <si>
    <t>- Partnerstvá v rámci cestovného ruchu</t>
  </si>
  <si>
    <t>- Medzinárodné výstavy cestovného ruchu a prezentácie mesta</t>
  </si>
  <si>
    <t>PROPAGÁCIA A PREZENTÁCIA MESTA</t>
  </si>
  <si>
    <t xml:space="preserve">- Propagácia prostredníctvom printových médií </t>
  </si>
  <si>
    <t>Propagácia mesta</t>
  </si>
  <si>
    <t>- Propagácia prostredníctvom upomienkových predmetov</t>
  </si>
  <si>
    <t>- Projekty spolupráce s partnerskými mestami</t>
  </si>
  <si>
    <t>- Ostatné projekty v rámci medzinárodnej spolupráce</t>
  </si>
  <si>
    <t xml:space="preserve">- Zahraničné cestovné </t>
  </si>
  <si>
    <t>- Tlmočenie a preklady</t>
  </si>
  <si>
    <t>- Dni európskeho dedičstva - zborník</t>
  </si>
  <si>
    <t>- Medzinárodná súťažná výstava vín "Víno Tirnavia" dotácia pre VINCECH</t>
  </si>
  <si>
    <t>Centrope Capacity</t>
  </si>
  <si>
    <t>12.1.1.2</t>
  </si>
  <si>
    <t>12.1.1.3</t>
  </si>
  <si>
    <t>12.1.1.4</t>
  </si>
  <si>
    <t>12.1.1.5</t>
  </si>
  <si>
    <t>12.1.1.6</t>
  </si>
  <si>
    <t>11.2.2.1</t>
  </si>
  <si>
    <t>11.2.2.3</t>
  </si>
  <si>
    <t>ĽUDSKÉ  ZDROJE</t>
  </si>
  <si>
    <t>16.1</t>
  </si>
  <si>
    <t>16.1.1</t>
  </si>
  <si>
    <t>16.1.2</t>
  </si>
  <si>
    <t>Zamestnanci úradu</t>
  </si>
  <si>
    <t>16.1.3</t>
  </si>
  <si>
    <t>Voľby</t>
  </si>
  <si>
    <t>Štatutárni zástupcovia mesta, poslanci, Útvar hlavného kontrolóra</t>
  </si>
  <si>
    <t xml:space="preserve">- Mzdy štatutárnych zástupcov mesta            </t>
  </si>
  <si>
    <t xml:space="preserve">- Mzdy útvaru hlavného kontrolóra                 </t>
  </si>
  <si>
    <t xml:space="preserve">- Poistné                                                                 </t>
  </si>
  <si>
    <t xml:space="preserve">- Odmeny a náhrady miezd poslancov                 </t>
  </si>
  <si>
    <t>- Fond odmien - primátor</t>
  </si>
  <si>
    <t>- Fond odmien - kontrolór</t>
  </si>
  <si>
    <t>- Výdavky na cestovné</t>
  </si>
  <si>
    <t>- Občerstvenie na MZ, MR</t>
  </si>
  <si>
    <t xml:space="preserve">- Školenia                                                                  </t>
  </si>
  <si>
    <t xml:space="preserve">- Sociálny fond                                                          </t>
  </si>
  <si>
    <t>- Doplnkové dôchodkové poistenie</t>
  </si>
  <si>
    <t>- Stravné</t>
  </si>
  <si>
    <t>- Náhrada za nemoc</t>
  </si>
  <si>
    <t>Skládka komunálneho odpadu Trnava Zavarská cesta - realizácia (4.kazeta)</t>
  </si>
  <si>
    <t>2011</t>
  </si>
  <si>
    <t>2012</t>
  </si>
  <si>
    <t>- Fondy pre prípravu projektov</t>
  </si>
  <si>
    <t>- Fond odmien prednostu</t>
  </si>
  <si>
    <t>- Odmeny pri dosiahnutí životného jubilea</t>
  </si>
  <si>
    <t>- Poistné</t>
  </si>
  <si>
    <t>- Doplnkové dôchodkové poistenie zamestnancov</t>
  </si>
  <si>
    <t>- Odchodné</t>
  </si>
  <si>
    <t xml:space="preserve">- Sociálny fond                                                         </t>
  </si>
  <si>
    <t>3.3.</t>
  </si>
  <si>
    <t>5.3.</t>
  </si>
  <si>
    <t>12.3</t>
  </si>
  <si>
    <t>1.2</t>
  </si>
  <si>
    <t>1.3</t>
  </si>
  <si>
    <t>2.1</t>
  </si>
  <si>
    <t>2.2</t>
  </si>
  <si>
    <t>2.3</t>
  </si>
  <si>
    <t>2.4</t>
  </si>
  <si>
    <t>2.5</t>
  </si>
  <si>
    <t>4.3.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</si>
  <si>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</si>
  <si>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</si>
  <si>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</si>
  <si>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</si>
  <si>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</si>
  <si>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</si>
  <si>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</si>
  <si>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</si>
  <si>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</si>
  <si>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9.3</t>
  </si>
  <si>
    <t>11.3</t>
  </si>
  <si>
    <t>14.3</t>
  </si>
  <si>
    <t>16.2</t>
  </si>
  <si>
    <t>17.3</t>
  </si>
  <si>
    <t>- interiérové vybavenie radnice</t>
  </si>
  <si>
    <t>19.3</t>
  </si>
  <si>
    <t>Rozpočet 2009 po                                               4. aktualizácii</t>
  </si>
  <si>
    <t>∑ PROGRAMY</t>
  </si>
  <si>
    <t xml:space="preserve">Za zrušené dane </t>
  </si>
  <si>
    <t>Združené investičné prostriedky - cyklochodník Veterná</t>
  </si>
  <si>
    <t>Dane z príjmu fyzických osôb</t>
  </si>
  <si>
    <t>TRANSFERY, GRANTY A PRÍSPEVKY</t>
  </si>
  <si>
    <t>ÚPSVaR - Menšie obecné služby</t>
  </si>
  <si>
    <t>Recyklačný fond - separovaný zber</t>
  </si>
  <si>
    <t>EÚ - PRO.MOTION</t>
  </si>
  <si>
    <t>EÚ - ERDC /Vedecko-výskumný klaster/</t>
  </si>
  <si>
    <t>EÚ - Centrope Capacity</t>
  </si>
  <si>
    <t>EÚ - AC Centrope</t>
  </si>
  <si>
    <t>EÚ - Inovatívne metódy vo vyučovaní</t>
  </si>
  <si>
    <t>EÚ - Interkulturálne vzdelávanie</t>
  </si>
  <si>
    <t>Obvodný úrad - voľby</t>
  </si>
  <si>
    <t>Granty pre Mestskú políciu</t>
  </si>
  <si>
    <t>MV SR - pamätník SNP a pamätník osloboditeľom</t>
  </si>
  <si>
    <t>MV SR - vojnové hroby</t>
  </si>
  <si>
    <t>ESF - Chránená dielňa</t>
  </si>
  <si>
    <t>Granty pre MŠ</t>
  </si>
  <si>
    <t>EÚ - Rekonštrukcia Zariadenia pre seniorov v Trnave</t>
  </si>
  <si>
    <t>EÚ - Grafický informačný systém GIS a e-GOV</t>
  </si>
  <si>
    <t>EÚ - Zariadenie na zhodnocovanie odpadov</t>
  </si>
  <si>
    <t>TRANSFERY NA PRENESENÝ VÝKON ŠTÁTNEJ SPRÁVY</t>
  </si>
  <si>
    <t>matrika</t>
  </si>
  <si>
    <t>školy</t>
  </si>
  <si>
    <t>školský úrad</t>
  </si>
  <si>
    <t>výchova a vzdelávanie detí MŠ</t>
  </si>
  <si>
    <t>agenda ŠFRB</t>
  </si>
  <si>
    <t>starostlivosť o životné prostredie</t>
  </si>
  <si>
    <t>hlásenie pobytu občanov a register obyvateľov SR</t>
  </si>
  <si>
    <t>OSTATNÉ PRÍSPEVKY A DÁVKY PRE ŠKOLSTVO</t>
  </si>
  <si>
    <t>prídavky na deti</t>
  </si>
  <si>
    <t>príspevok na pomoc v hmotnej núdzi</t>
  </si>
  <si>
    <t>I</t>
  </si>
  <si>
    <t>II</t>
  </si>
  <si>
    <t>III</t>
  </si>
  <si>
    <t>IV</t>
  </si>
  <si>
    <t>V</t>
  </si>
  <si>
    <t>VI</t>
  </si>
  <si>
    <t>VII</t>
  </si>
  <si>
    <t>VLASTNÉ PRÍJMY RO</t>
  </si>
  <si>
    <t>PRÍJMY SPOLU</t>
  </si>
  <si>
    <t>EÚ - Rekultivácia skládky komunálneho odpadu Boleráz</t>
  </si>
  <si>
    <t>Nájomný bytový dom 24 b.j. S nižším štandardom</t>
  </si>
  <si>
    <t>Skvalitnenie úrovne v Zariadení pre seniorov v Trnave</t>
  </si>
  <si>
    <t>EÚ - Rekonštrukcia a modernizácia ZŠ Gorkého</t>
  </si>
  <si>
    <t>EÚ - Mestský priemyselný a technologický park Trnava</t>
  </si>
  <si>
    <t>FINANČNÉ OPERÁCIE</t>
  </si>
  <si>
    <t>Príjmové finančné operácie</t>
  </si>
  <si>
    <t>Prevody z fondov</t>
  </si>
  <si>
    <t>z fondu rozvoja bývania</t>
  </si>
  <si>
    <t>z fondu odmien</t>
  </si>
  <si>
    <t>Zostatok prostriedkov z predchádzajúcich rokov</t>
  </si>
  <si>
    <t>Prijaté úvery</t>
  </si>
  <si>
    <t>Komerčné úvery</t>
  </si>
  <si>
    <t>Výdavkové finančné operácie</t>
  </si>
  <si>
    <t>Splátky istiny</t>
  </si>
  <si>
    <t>Rekapitulácia</t>
  </si>
  <si>
    <t>Príjmy spolu</t>
  </si>
  <si>
    <t>ZDROJE SPOLU</t>
  </si>
  <si>
    <t>Výdavky spolu</t>
  </si>
  <si>
    <t>POUŽITIE ZDROJOV SPOLU</t>
  </si>
  <si>
    <t>Saldo bežného rozpočtu</t>
  </si>
  <si>
    <t>Saldo kapitálového rozpočtu</t>
  </si>
  <si>
    <t>SALDO SPOLU</t>
  </si>
  <si>
    <t>VÝDAVKY</t>
  </si>
  <si>
    <t>z rezervného fondu</t>
  </si>
  <si>
    <t>- Starostlivosť o zamestnancov</t>
  </si>
  <si>
    <t>- Príspevok na stravné</t>
  </si>
  <si>
    <t xml:space="preserve">- Školenia pracovníkov MsÚ                                  </t>
  </si>
  <si>
    <t xml:space="preserve">- Cestovné                                                         </t>
  </si>
  <si>
    <t>- Pracovná zdravotná služba</t>
  </si>
  <si>
    <t>INFORMAČNÝ A KOMUNIKAČNÝ SYSTÉM</t>
  </si>
  <si>
    <t>14.1</t>
  </si>
  <si>
    <t>Hardvér</t>
  </si>
  <si>
    <t>Softvér a dáta</t>
  </si>
  <si>
    <t>Prepojenie na internet</t>
  </si>
  <si>
    <t>Spoje</t>
  </si>
  <si>
    <t>Správa informačných a komunikačných technológií (IKT)</t>
  </si>
  <si>
    <t>14.2</t>
  </si>
  <si>
    <t>Optická sieť</t>
  </si>
  <si>
    <t xml:space="preserve">Projekt Centrálny zdravotnícky sofvér </t>
  </si>
  <si>
    <t>Rozpočet 2009                     4. aktualizácia</t>
  </si>
  <si>
    <t>Návrh rozpočtu 2010</t>
  </si>
  <si>
    <t>Zasadačka MZ</t>
  </si>
  <si>
    <t>Údržba hardvéru</t>
  </si>
  <si>
    <t>Údržba softvéru - zmluvné vzťahy</t>
  </si>
  <si>
    <t>- telefóny a faxy</t>
  </si>
  <si>
    <t>- poštovné</t>
  </si>
  <si>
    <t>- koncesionárske poplatky</t>
  </si>
  <si>
    <t>- telefónna ústredňa MsÚ</t>
  </si>
  <si>
    <t>- systémová a účelová aktualizácia dát technickej mapy mesta</t>
  </si>
  <si>
    <t>- aktualizácia digitálnej katastrálnej mapy</t>
  </si>
  <si>
    <t>- aktualizácia ortofotomapy</t>
  </si>
  <si>
    <t>- realizácia pripokládok</t>
  </si>
  <si>
    <t>- zapájanie ďalších objektov pre potreby mesta</t>
  </si>
  <si>
    <t>SPRÁVA ÚRADU A PREVÁDZKA BUDOV</t>
  </si>
  <si>
    <t>17.1</t>
  </si>
  <si>
    <t>17.1.1</t>
  </si>
  <si>
    <t xml:space="preserve">Údržba a opravy                                                  </t>
  </si>
  <si>
    <t xml:space="preserve">Materiál a dodávky                                          </t>
  </si>
  <si>
    <t>8.2.1.3.</t>
  </si>
  <si>
    <t>Nájomný bytový dom Coburgova - havária</t>
  </si>
  <si>
    <t>- zostatok nepoužitých vlastných príjmov z predchádzajúceho roka</t>
  </si>
  <si>
    <t>8.2.2.3.</t>
  </si>
  <si>
    <t>Služby</t>
  </si>
  <si>
    <t>Vozový park</t>
  </si>
  <si>
    <t>Správne, súdne, notárske poplatky a inzeráty</t>
  </si>
  <si>
    <t>Príspevky neziskovým organizáciám</t>
  </si>
  <si>
    <t>Energie, vodné a stočné</t>
  </si>
  <si>
    <t>17.2</t>
  </si>
  <si>
    <t>Osobné motorové vozidlá</t>
  </si>
  <si>
    <t>17.2.2</t>
  </si>
  <si>
    <t>Nákup prístrojov a zariadení</t>
  </si>
  <si>
    <t>Bežné príjmy</t>
  </si>
  <si>
    <t>Kapitálové príjmy</t>
  </si>
  <si>
    <t>Saldo finančných operácií</t>
  </si>
  <si>
    <t>- klimatizácia vrátane osvetlenia</t>
  </si>
  <si>
    <t>- západné krídlo Radnice</t>
  </si>
  <si>
    <t xml:space="preserve">- výmena dverí </t>
  </si>
  <si>
    <t>Trhová 3  - rekonštrukcia a modernizácia</t>
  </si>
  <si>
    <t>17.2.2.1</t>
  </si>
  <si>
    <t>Radnica - rekonštrukcia a modernizácia</t>
  </si>
  <si>
    <t>17.2.2.2</t>
  </si>
  <si>
    <t>17.1.1.1</t>
  </si>
  <si>
    <t>likvidačný zostatok Invest Trnava s.r.o.</t>
  </si>
  <si>
    <t xml:space="preserve">- odborná literatúra                                        </t>
  </si>
  <si>
    <t xml:space="preserve">- pracovné odevy a náradie, zariadenie a prístroje                                </t>
  </si>
  <si>
    <t>- čistiace prostriedky</t>
  </si>
  <si>
    <t>- iné</t>
  </si>
  <si>
    <t xml:space="preserve">- tlačivá, tlačiarenské služby                     </t>
  </si>
  <si>
    <t>- servis kopírovacích strojov</t>
  </si>
  <si>
    <t>- audit a ekonomické poradenstvo</t>
  </si>
  <si>
    <t>- distribúcia materiálov pre MR a MZ</t>
  </si>
  <si>
    <t>- nárazové pomocné práce</t>
  </si>
  <si>
    <t>- odvoz smetí</t>
  </si>
  <si>
    <t>- strážna služba</t>
  </si>
  <si>
    <t xml:space="preserve">- pohonné hmoty, mazivá, oleje                 </t>
  </si>
  <si>
    <t xml:space="preserve">- servis a údržba vozidiel                           </t>
  </si>
  <si>
    <t xml:space="preserve">- pneumatiky         </t>
  </si>
  <si>
    <t xml:space="preserve">- zákonné a havarijné poistenie                  </t>
  </si>
  <si>
    <t>17.1.1.2</t>
  </si>
  <si>
    <t>17.1.1.3</t>
  </si>
  <si>
    <t>17.1.1.4</t>
  </si>
  <si>
    <t>17.1.1.5</t>
  </si>
  <si>
    <t>Jednorazové dávky a príspevky</t>
  </si>
  <si>
    <t>- príspevok na presťahovanie z Veternej ulice na Tajovského ulicu</t>
  </si>
  <si>
    <t>8.2.2.2.</t>
  </si>
  <si>
    <t>- MŠ Spartakovská - rozšírenie kuchyne</t>
  </si>
  <si>
    <t>- Rekonštrukcia objektov a zariadení cintorínov</t>
  </si>
  <si>
    <t>- Záujmové Združenie Rodina - rekonštrukcia spoločenskej miestnosti a kancelárie</t>
  </si>
  <si>
    <t>- Práčovňa Beethovenova - tepelnoizolačné opláštenie budovy</t>
  </si>
  <si>
    <t>Súdne a notárske poplatky</t>
  </si>
  <si>
    <t>15.2</t>
  </si>
  <si>
    <t>15.2.1</t>
  </si>
  <si>
    <t>Majetkoprávne usporiadanie a odkupovanie majetku</t>
  </si>
  <si>
    <t>Členské do združenia Slovenský dom Centrope</t>
  </si>
  <si>
    <t>Rekonštrukcia miestnej komunikácie Rajčurská (DSPaR dopl.)</t>
  </si>
  <si>
    <t>príspevok pre školy zo školného</t>
  </si>
  <si>
    <t>Rekonštrukcie základných škôl</t>
  </si>
  <si>
    <t>ŠKOLSTVO A VZDELÁVACÍ SYSTÉM</t>
  </si>
  <si>
    <t>Úprava priestorov pre ZUŠ</t>
  </si>
  <si>
    <t>15.1</t>
  </si>
  <si>
    <t>15.1.2</t>
  </si>
  <si>
    <t>SPRÁVA MAJETKU</t>
  </si>
  <si>
    <t>PRÁVNY SERVIS</t>
  </si>
  <si>
    <t>JEDNORAZOVÉ DÁVKY A FINANČNÉ PRÍSPEVKY</t>
  </si>
  <si>
    <t>ZARIADENIA SOCIÁLNYCH SLUŽIEB</t>
  </si>
  <si>
    <t>PROJEKTY PODPORY ROZVOJA SOCIÁLNEJ OBLASTI</t>
  </si>
  <si>
    <t xml:space="preserve">- starostlivosť o starých občanov                          </t>
  </si>
  <si>
    <t xml:space="preserve">- starostlivosť o rodiny s deťmi                              </t>
  </si>
  <si>
    <t xml:space="preserve">- starostlivosť o sociálne odkázaných občanov     </t>
  </si>
  <si>
    <t>- spoluúčasť mesta na charitatívnych podujatiach</t>
  </si>
  <si>
    <t>- charitatívna podpora</t>
  </si>
  <si>
    <t>- príspevok na činnosť</t>
  </si>
  <si>
    <t>- zvýšenie počtu zamestnancov</t>
  </si>
  <si>
    <t>- zariadenie izieb pre klientov</t>
  </si>
  <si>
    <t>- úprava izieb klientov, kúpelní, kuchyniek, ...</t>
  </si>
  <si>
    <t xml:space="preserve">- charita </t>
  </si>
  <si>
    <t>- zdravotne postihnutí</t>
  </si>
  <si>
    <t>- Hospic Svetlo</t>
  </si>
  <si>
    <t>- Zdravé mesto</t>
  </si>
  <si>
    <t>- primárna protidrogová prevencia</t>
  </si>
  <si>
    <t>- Združenie Rodina</t>
  </si>
  <si>
    <t>Kancelária Zdravé mesto</t>
  </si>
  <si>
    <t>- Zdravé mesto - činnosť</t>
  </si>
  <si>
    <t>- Dni zdravia</t>
  </si>
  <si>
    <t>- protidrogová prevencia - činnosť</t>
  </si>
  <si>
    <t>Príspevok pre Stredisko sociálnej starostlivosti</t>
  </si>
  <si>
    <t xml:space="preserve">- príspevok na opatrovateľskú službu </t>
  </si>
  <si>
    <t xml:space="preserve">3. návrh na rozpočet 2010 </t>
  </si>
  <si>
    <t xml:space="preserve"> - byty</t>
  </si>
  <si>
    <t>FSR - Komunitné centrum v Trnave</t>
  </si>
  <si>
    <t>EÚ - Autoplast</t>
  </si>
  <si>
    <t>EÚ - Euromost škola Kyjov - Trnava</t>
  </si>
  <si>
    <t>EÚ - Zavádzanie a rozvoj eGovermentu mesta</t>
  </si>
  <si>
    <t>EÚ - Športové multifunkčné ihrisko ZŠ A. Kubinu</t>
  </si>
  <si>
    <t>EÚ - Revitalizácia areálu Kamenný mlyn</t>
  </si>
  <si>
    <t xml:space="preserve">zariadenie pre seniorov </t>
  </si>
  <si>
    <t>zariadenie pre seniorov</t>
  </si>
  <si>
    <t>Medzinárodný vyšehradský fond - Trnavská brána</t>
  </si>
  <si>
    <t xml:space="preserve"> - výmeníkové stanice</t>
  </si>
  <si>
    <t xml:space="preserve"> - nebytové priestory</t>
  </si>
  <si>
    <t>Bežné výdavky</t>
  </si>
  <si>
    <t>v tis. Sk</t>
  </si>
  <si>
    <t>Kapitálové výdavky</t>
  </si>
  <si>
    <t>Charita a tretí sektor</t>
  </si>
  <si>
    <t>- poistenie budov ZŠ</t>
  </si>
  <si>
    <t>- majetku</t>
  </si>
  <si>
    <t>- správa obecných bytov</t>
  </si>
  <si>
    <t>- správa obecných bytov cudzím správcom</t>
  </si>
  <si>
    <t>- správa nebytových priestorov</t>
  </si>
  <si>
    <t>- správa hydrofórových staníc</t>
  </si>
  <si>
    <t>- za neobsadené priestory</t>
  </si>
  <si>
    <t>- za neplatičov</t>
  </si>
  <si>
    <t xml:space="preserve">- byty </t>
  </si>
  <si>
    <t>- nebytové priestory</t>
  </si>
  <si>
    <t>- hydrofórové stanice</t>
  </si>
  <si>
    <t>- ochranné stavby CO</t>
  </si>
  <si>
    <t>Sprievodca poskytovateľmi sociálnych služieb</t>
  </si>
  <si>
    <t>Výdavky z dotácie predsedu vlády SR</t>
  </si>
  <si>
    <t xml:space="preserve">Právne služby                     </t>
  </si>
  <si>
    <t xml:space="preserve"> - hydrofórové stanice</t>
  </si>
  <si>
    <t>- ostatné poplatky za spravovanie bytov</t>
  </si>
  <si>
    <t>Neformálne vzdelávacie aktivity</t>
  </si>
  <si>
    <t>Zvyšovanie environmentálneho povedomia (školenia, …)</t>
  </si>
  <si>
    <t>SOCIÁLNA STAROSTLIVOSŤ</t>
  </si>
  <si>
    <t>Konferencia poskytovateľov sociálnych služieb</t>
  </si>
  <si>
    <t>Dotácie</t>
  </si>
  <si>
    <t xml:space="preserve">Príležitostné aktivity v školských zariadeniach </t>
  </si>
  <si>
    <t>9.1.2</t>
  </si>
  <si>
    <t>Výročná konferencia mesta Trnava o vzdelávaní a trhu práce</t>
  </si>
  <si>
    <t>Dobrovoľníci deťom</t>
  </si>
  <si>
    <t>Originálne kompetencie na úseku školstva</t>
  </si>
  <si>
    <t>Dotácie na vzdelávanie</t>
  </si>
  <si>
    <t>9.2</t>
  </si>
  <si>
    <t>Budovy škôl a školských zariadení</t>
  </si>
  <si>
    <t xml:space="preserve">Budovy škôl a školských zariadení </t>
  </si>
  <si>
    <t>Výdavky zo zostatku príjmov z predchádzajúcich rokov</t>
  </si>
  <si>
    <t>Kalokagatia CVČ, Limbová - rekonštrukcia sociálnych zariadení</t>
  </si>
  <si>
    <t>SPRÁVA MAJETKU A PRÁVNY SERVIS</t>
  </si>
  <si>
    <t>15.1.1</t>
  </si>
  <si>
    <t>ŠKOLSTVO</t>
  </si>
  <si>
    <t>VZDELÁVANIE</t>
  </si>
  <si>
    <t>- ZUŠ M. Sch. Trnavského, Štefánikova 2, Trnava</t>
  </si>
  <si>
    <t xml:space="preserve">- CVČ - Kalokagatia, Strelecká 1, Trnava </t>
  </si>
  <si>
    <t>- Školské kluby pri základných školách</t>
  </si>
  <si>
    <t>- Školské jedálne pri základných školách</t>
  </si>
  <si>
    <t>- Materská škola v ZŠ I. Krasku</t>
  </si>
  <si>
    <t>- Materská škola v ZŠ Vančurová</t>
  </si>
  <si>
    <t>- Materské školy a ŠJ pri materských školách</t>
  </si>
  <si>
    <t>- Voľnočasové aktivity v areáloch ZŠ (Prázdninové školské dvory)</t>
  </si>
  <si>
    <t>- Modernizácia výchovno-vzdelávacích aktivít v školách a školských zariadeniach</t>
  </si>
  <si>
    <t>Projekt Vyhrňme si rukávy</t>
  </si>
  <si>
    <t>Rekonštrukcie materských škôl a školských jedální pri MŠ</t>
  </si>
  <si>
    <t>- MŠ Mozartova - rekonštrukcia MŠ</t>
  </si>
  <si>
    <t>- MŠ Botanická - rekonštrukcia strechy</t>
  </si>
  <si>
    <t>- MŠ v Jame - rekonštrukcia strechy</t>
  </si>
  <si>
    <t>- MŠ v Jame - statický posudok</t>
  </si>
  <si>
    <t>- MŠ K. Mahra - bojlery na TÚV</t>
  </si>
  <si>
    <t>Návrh na rozpočet 2010</t>
  </si>
  <si>
    <t>- MŠ Jiráskova - termostatizácia</t>
  </si>
  <si>
    <t>- Signalizácia MŠ</t>
  </si>
  <si>
    <t>- PD - rekonštrukcie + elektro</t>
  </si>
  <si>
    <t>- MŠ Ľudová - rekonštrukcia fasády</t>
  </si>
  <si>
    <t>- MŠ Limbova - rekonštrukcia + oplotenie</t>
  </si>
  <si>
    <t>- MŠ Limbova - rekonštrukcia mamaklub - CVČ</t>
  </si>
  <si>
    <t>- MŠ T. Tekela - výmena okien</t>
  </si>
  <si>
    <t>- MŠ Čajkovského - statický posudok</t>
  </si>
  <si>
    <t>- ostatné kapitálové výdavky materských škôl a školských zariadení</t>
  </si>
  <si>
    <t>ODPADOVÉ HOSPODÁRSTVO</t>
  </si>
  <si>
    <t>Informačno-propagačná činnosť o odpadoch</t>
  </si>
  <si>
    <t>Zber, preprava a zneškodňovanie komunálneho odpadu</t>
  </si>
  <si>
    <t>Intenzifikácia separovaného zberu</t>
  </si>
  <si>
    <t>BYTOVÁ VÝSTAVBA</t>
  </si>
  <si>
    <t>Nájomné byty Veterná ulica</t>
  </si>
  <si>
    <t>Nájomný bytový dom na Coburgovej ulici  - 24 b.j.</t>
  </si>
  <si>
    <t>Nájomný bytový dom na Tajovského ulici - 88 b.j.</t>
  </si>
  <si>
    <t>Obytný súbor Kočišské</t>
  </si>
  <si>
    <t>- Etapa A - technická infraštruktúra, realizácia - vlastné zdroje</t>
  </si>
  <si>
    <t>- Etapa A/1 - pokračovanie etapy A</t>
  </si>
  <si>
    <t>- Obytný súbor Kočišské - komunikácie</t>
  </si>
  <si>
    <t>- sanácia omietok</t>
  </si>
  <si>
    <t>- sanácia suterénu</t>
  </si>
  <si>
    <t>- rekonštrukcia strechy - zateplenie</t>
  </si>
  <si>
    <t>Malometrážne byty pre mladé rodiny na ulici Veterná</t>
  </si>
  <si>
    <t>VEREJNÉ OSVETLENIE</t>
  </si>
  <si>
    <t>Údržba verejného osvetlenia</t>
  </si>
  <si>
    <t>Prevádzka verejného osvetlenia (elektrická energia)</t>
  </si>
  <si>
    <t>Modernizácia verejného osvetlenia</t>
  </si>
  <si>
    <t>Nákup vianočnej výzdoby</t>
  </si>
  <si>
    <t>ULIČNÝ MOBILIÁR</t>
  </si>
  <si>
    <t>Verejné WC</t>
  </si>
  <si>
    <t>Verejné fontány</t>
  </si>
  <si>
    <t>Detské ihriská</t>
  </si>
  <si>
    <t>Detské ihrisko Dolné Bašty</t>
  </si>
  <si>
    <t>Lavičky</t>
  </si>
  <si>
    <t>Oplotenie Botanickej záhrady</t>
  </si>
  <si>
    <t>Orientačno-informačný systém MINS - údržba</t>
  </si>
  <si>
    <t>Mesto Trnava a voda - Trnávka + realizácia fontán</t>
  </si>
  <si>
    <t>Oplotenie troch vybraných detských ihrísk</t>
  </si>
  <si>
    <t>BEZPEČNOSTNÝ SERVIS</t>
  </si>
  <si>
    <t>13.1</t>
  </si>
  <si>
    <t>13.2</t>
  </si>
  <si>
    <t>Ochrana pred požiarmi</t>
  </si>
  <si>
    <t>MESTSKÝ GRANTOVÝ PROGRAM</t>
  </si>
  <si>
    <t>18.1</t>
  </si>
  <si>
    <t xml:space="preserve">Dotácie a dary </t>
  </si>
  <si>
    <t>18.2</t>
  </si>
  <si>
    <t>Dotácie a dary</t>
  </si>
  <si>
    <t>MESTSKÁ POLÍCIA</t>
  </si>
  <si>
    <t>Mzdy</t>
  </si>
  <si>
    <t>Poistné</t>
  </si>
  <si>
    <t>Doplnkové dôchodkové poistenie</t>
  </si>
  <si>
    <t>Sociálny fond</t>
  </si>
  <si>
    <t>Ostatné zabezpečenie</t>
  </si>
  <si>
    <t>- výstrojný materiál</t>
  </si>
  <si>
    <t>- výzbrojný materiál</t>
  </si>
  <si>
    <t>- technické zabezpečenie</t>
  </si>
  <si>
    <t>- ostatné zabezpečenie</t>
  </si>
  <si>
    <t>19.2</t>
  </si>
  <si>
    <t>Nákup počítačov a softvéru</t>
  </si>
  <si>
    <t>Telekomunikačná technika</t>
  </si>
  <si>
    <t>Služobné autá</t>
  </si>
  <si>
    <t>Služobné motocykle</t>
  </si>
  <si>
    <t>Prevádzkové stroje</t>
  </si>
  <si>
    <t>Kamerový systém</t>
  </si>
  <si>
    <t>19.1</t>
  </si>
  <si>
    <t>PODPORA MALÉHO A STREDNÉHO PODNIKANIA</t>
  </si>
  <si>
    <t>20.1</t>
  </si>
  <si>
    <t>Trnavský podnikateľský klub</t>
  </si>
  <si>
    <t>Organizovanie tematických stretnutí</t>
  </si>
  <si>
    <t>Administratívne náklady</t>
  </si>
  <si>
    <t>Investičné PR mesta Trnava - "high - tech" mesto</t>
  </si>
  <si>
    <t>Vypracovanie manuálu pre podnikateľov</t>
  </si>
  <si>
    <t>Mestský priemyselný a technologický park Trnava</t>
  </si>
  <si>
    <t>Automobilový klaster - západné Slovensko - 1. fáza</t>
  </si>
  <si>
    <t>Automobilový klaster - západné Slovensko - 2. fáza</t>
  </si>
  <si>
    <t>Regionálna inovačná stratégia</t>
  </si>
  <si>
    <t>Projekt AC Centrope</t>
  </si>
  <si>
    <t>Regionálne inovačné centrum Trnava</t>
  </si>
  <si>
    <t>9.2.1</t>
  </si>
  <si>
    <t>Špeciálna technika, prevádzkové stroje</t>
  </si>
  <si>
    <t>MLÁDEŽ  A  ŠPORT</t>
  </si>
  <si>
    <t>10.1</t>
  </si>
  <si>
    <t>10.1.1</t>
  </si>
  <si>
    <t>Príspevok pre SKaŠZ</t>
  </si>
  <si>
    <t>10.2</t>
  </si>
  <si>
    <t>10.2.1</t>
  </si>
  <si>
    <t>Akcie realizované MsÚ</t>
  </si>
  <si>
    <t>10.2.2</t>
  </si>
  <si>
    <t>10.2.2.1</t>
  </si>
  <si>
    <t>10.2.2.2</t>
  </si>
  <si>
    <t>ŠPORTOVÉ AKTIVITY</t>
  </si>
  <si>
    <t>Telovýchova a šport</t>
  </si>
  <si>
    <t xml:space="preserve">- Trnavské športové hry                                         </t>
  </si>
  <si>
    <t xml:space="preserve">- Športové a telovýchovné akcie                            </t>
  </si>
  <si>
    <t>- Kalokagatia</t>
  </si>
  <si>
    <t>- športové aktivity</t>
  </si>
  <si>
    <t>- aktivity mládeže</t>
  </si>
  <si>
    <t>Rozpočet výdavkov v podrobnej štruktúre 2008 - 2010</t>
  </si>
  <si>
    <t>Okružná križovatka Suchovská - Ružindolská</t>
  </si>
  <si>
    <t>- Memoriál I. Hudeca</t>
  </si>
  <si>
    <t>- Olympijský klub</t>
  </si>
  <si>
    <t>- Grand Prix Tirnavia v tanečnom športe</t>
  </si>
  <si>
    <t>- Nonstop-cyklojazda Trnava - Rysy</t>
  </si>
  <si>
    <t>- Memoriál Mariána Hirnera v hádzanej</t>
  </si>
  <si>
    <t>- Bazén Zátvor - debarierizácia - realizácia</t>
  </si>
  <si>
    <t>- Športový areál Modranka - prípojka kanalizácie</t>
  </si>
  <si>
    <t>ŽIVOTNÉ PROSTREDIE</t>
  </si>
  <si>
    <t>Správa zelene</t>
  </si>
  <si>
    <t>Zmeny ÚPN</t>
  </si>
  <si>
    <t>MÚSES - aktualizácia</t>
  </si>
  <si>
    <t>Strategické environmentálne posudzovanie (SEA)</t>
  </si>
  <si>
    <t>Environmentálne posudzovanie (EIA)</t>
  </si>
  <si>
    <t xml:space="preserve">Dopadové environmentálne štúdie </t>
  </si>
  <si>
    <t xml:space="preserve">Obnova biokoridorov na území mesta </t>
  </si>
  <si>
    <t>Štúdie, expertízy, posudky</t>
  </si>
  <si>
    <t>Súťaž o najkrajší balkón</t>
  </si>
  <si>
    <t>Chodník Átriová - Pekné pole III.</t>
  </si>
  <si>
    <t>Bežné výdavky - podľa priority presunuté pod čiaru (akceptovať v prípade finančných zdrojov):</t>
  </si>
  <si>
    <t xml:space="preserve">   - charitatívna podpora</t>
  </si>
  <si>
    <t xml:space="preserve">   - Hospic Svetlo</t>
  </si>
  <si>
    <t>- rekonštrukcia Kancelárie prvého kontaktu</t>
  </si>
  <si>
    <t>Invest Trnava - výdavky zo zostatku príjmov z predch. roka</t>
  </si>
  <si>
    <t>Rozvojový projekt na podporu MaSP</t>
  </si>
  <si>
    <t>Príspevok pre SSS</t>
  </si>
  <si>
    <t xml:space="preserve">   - Združenie Rodina</t>
  </si>
  <si>
    <t xml:space="preserve"> - výdavky zo zdrojov mesta</t>
  </si>
  <si>
    <t xml:space="preserve">        - zariadenie izieb pre klientov</t>
  </si>
  <si>
    <t xml:space="preserve">        - úprava izieb klientov, kúpelní, kuchyniek...</t>
  </si>
  <si>
    <t>dopad legislatívy</t>
  </si>
  <si>
    <t>Výsadba kvetinových záhonov - okružná križovatka Nitrianska</t>
  </si>
  <si>
    <t>Humanizácia OS Zátvor (štúdia)</t>
  </si>
  <si>
    <t>ZELEŇ</t>
  </si>
  <si>
    <t>SPRÁVA ŠPORTOVÝCH AREÁLOV</t>
  </si>
  <si>
    <t>15.1.1.1</t>
  </si>
  <si>
    <t>15.1.1.2</t>
  </si>
  <si>
    <t>15.1.2.1</t>
  </si>
  <si>
    <t>15.1.2.2</t>
  </si>
  <si>
    <t>15.1.2.3</t>
  </si>
  <si>
    <t>Výdavky MsÚ na správu majetku</t>
  </si>
  <si>
    <t>10.1.1.1</t>
  </si>
  <si>
    <t>10.1.1.2</t>
  </si>
  <si>
    <t>DOPRAVA</t>
  </si>
  <si>
    <t>1.1</t>
  </si>
  <si>
    <t>1.1.1</t>
  </si>
  <si>
    <t xml:space="preserve">Projektová dokumentácia </t>
  </si>
  <si>
    <t>Križovatky</t>
  </si>
  <si>
    <t>Dopravné značenie</t>
  </si>
  <si>
    <t>Parkovacia služba</t>
  </si>
  <si>
    <t>Okružná križovatka Bratislavská - Strojárenská</t>
  </si>
  <si>
    <t>Komunikačné prepojenie ulíc Trstínska - Cukrová</t>
  </si>
  <si>
    <t>Peší a cyklistický prepoj Sladovnícka ul.</t>
  </si>
  <si>
    <t>Peší a cyklistický chodník Mikovínyho - od OS Mikovínyho po most cez Trnávku</t>
  </si>
  <si>
    <t>Dokumentácia pre stavebné povolenie chodníkov menších plôch</t>
  </si>
  <si>
    <t>Rozšírenie parkovacích miest na sídlisku Na Hlinách</t>
  </si>
  <si>
    <t>Parkovisko Clementisova 22 - 24</t>
  </si>
  <si>
    <t>Parkovisko Clementisova 61 - 66</t>
  </si>
  <si>
    <t xml:space="preserve">Realizácia </t>
  </si>
  <si>
    <t>Rozpočet 2009 po                     4. aktualizácii</t>
  </si>
  <si>
    <t>- Mzdy zamestnancov MsÚ</t>
  </si>
  <si>
    <t>Odmeny z fondu odmien schváleného v MZ</t>
  </si>
  <si>
    <t>Cyklochodník Strelecká</t>
  </si>
  <si>
    <t>Cyklochodník ulica Veterná</t>
  </si>
  <si>
    <t>Chodník Palárikova</t>
  </si>
  <si>
    <t>Chodník Hospodárska (popri Trnávke)</t>
  </si>
  <si>
    <t>Chodník Kopánkova</t>
  </si>
  <si>
    <t>Odvodnenie parkovísk</t>
  </si>
  <si>
    <t>Ostatné súčasti dopravy</t>
  </si>
  <si>
    <t>MIESTNE KOMUNIKÁCIE</t>
  </si>
  <si>
    <t>Oprava a údržba miestnych komunikácií</t>
  </si>
  <si>
    <t>Vypracovanie mostných listov</t>
  </si>
  <si>
    <t>- Miestne komunikácie</t>
  </si>
  <si>
    <t>- Križovatky</t>
  </si>
  <si>
    <t>Rekonštrukcia miestnej komunikácie Chovateľská</t>
  </si>
  <si>
    <t>Rekonštrukcia miestnej komunikácie J. Hlúbika</t>
  </si>
  <si>
    <t>Rekonštrukcia miestnej komunikácie Kopernikova II</t>
  </si>
  <si>
    <t>Miestna komunikácia K. Hajdóczyho - parkovisko Slávia</t>
  </si>
  <si>
    <t>- Chodníky a cyklochodníky</t>
  </si>
  <si>
    <t>- Ostatné stavby</t>
  </si>
  <si>
    <t xml:space="preserve">- Parkoviská </t>
  </si>
  <si>
    <t>Rekonštrukcia miestnej komunikácie Zelená</t>
  </si>
  <si>
    <t xml:space="preserve">Rekonštrukcia miestnej komunikácie Coburgova </t>
  </si>
  <si>
    <t>- Rekonštrukcia povrchov miestnych komunikácií a chodníkov</t>
  </si>
  <si>
    <t>- Parkoviská</t>
  </si>
  <si>
    <t>- Nákup parkovacích automatov</t>
  </si>
  <si>
    <t>stavebný úrad</t>
  </si>
  <si>
    <t>Medzinárodná súťaž dobrovoľných hasičov "O pohár primátora mesta Trnava"</t>
  </si>
  <si>
    <t>- náklady na požiarnu ochranu - neodpredané byty</t>
  </si>
  <si>
    <t>- náklady na požiarnu ochranu - nebytové priestory</t>
  </si>
  <si>
    <t>Náklady na domovnícke práce</t>
  </si>
  <si>
    <t>- správa materských škôl a základnej školy</t>
  </si>
  <si>
    <t>- Odmeny 25 rokov od 1. vstupu do zamestanania</t>
  </si>
  <si>
    <t>Projekt ERDC</t>
  </si>
  <si>
    <t>Automobilový klaster - západné Slovensko</t>
  </si>
  <si>
    <t>Členské príspevky</t>
  </si>
  <si>
    <t>Projekt Autoplast</t>
  </si>
  <si>
    <t>Snowball</t>
  </si>
  <si>
    <t>Pro.motion - parkovacia politika mesta</t>
  </si>
  <si>
    <t>- optimalizácia MAD v Trnave - PHSR (v roku 2010 vypracovanie grafikonu)</t>
  </si>
  <si>
    <t>- zmena organizácie dopravy - Tulipán</t>
  </si>
  <si>
    <t>Rekonštrukcia miestnej komunikácie Chovateľská (DÚR + DSPaR)</t>
  </si>
  <si>
    <t>Rekonštrukcia miestnej komunikácie Cukrová (DSPaR)</t>
  </si>
  <si>
    <t>Rekonštrukcia miestnej komunikácie Halenárska (DSPaR)</t>
  </si>
  <si>
    <t>Rekonštrukcia miestnej komunikácie Hviezdoslavova (DSPaR)</t>
  </si>
  <si>
    <t>Výstavba miestnej komunikácie Spartakovská II. (DSPaR)</t>
  </si>
  <si>
    <t>Rekonštrukcia miestnej komunikácie Ružová</t>
  </si>
  <si>
    <t>Prepojovacia komunikácia medzi Hajdóczyho a ŠD TU</t>
  </si>
  <si>
    <t>Prepojenie cyklotrasy Park J. Kráľa - Bernolákov park</t>
  </si>
  <si>
    <t>Humanizácia OS Na hlinách (DÚR, DSPaR)</t>
  </si>
  <si>
    <t>Humanizácia OS Linčianska (DSPaR)</t>
  </si>
  <si>
    <t>Humanizácia OS Vajanského (DSPaR)</t>
  </si>
  <si>
    <t>Humanizácia OS Vodáreň (DÚR, DSPaR)</t>
  </si>
  <si>
    <t>Humanizácia OS Na Hlinách</t>
  </si>
  <si>
    <t>Humanizácia OS A. Kubinu</t>
  </si>
  <si>
    <t>Projekt CIRCUSE</t>
  </si>
  <si>
    <t>kontrolný riadok</t>
  </si>
  <si>
    <t>PRÍJMY</t>
  </si>
  <si>
    <t>bež.</t>
  </si>
  <si>
    <t>MIESTNE DANE A POPLATKY</t>
  </si>
  <si>
    <t>1.</t>
  </si>
  <si>
    <t xml:space="preserve">Daň z nehnuteľností    </t>
  </si>
  <si>
    <t>2.</t>
  </si>
  <si>
    <t xml:space="preserve">Dane za špecifické služby </t>
  </si>
  <si>
    <t>Za užívanie verejného priestranstva</t>
  </si>
  <si>
    <t>parkovanie v CMZ     /od roku 2008 daň za vjazd a zotrvanie motor.vozidiel .../</t>
  </si>
  <si>
    <t>umiestnenie predaj.zariadení, záhrad.sedenia ...</t>
  </si>
  <si>
    <t xml:space="preserve">rozkopávky komunikácií </t>
  </si>
  <si>
    <t>rozkopávky zelene</t>
  </si>
  <si>
    <t>umiestnenie stav.materiálu, kontajn., lešenia</t>
  </si>
  <si>
    <t>Za psa</t>
  </si>
  <si>
    <t>Za nevýherné hracie prístroje</t>
  </si>
  <si>
    <t xml:space="preserve">Za ubytovanie </t>
  </si>
  <si>
    <t>2.5.</t>
  </si>
  <si>
    <t>Za znečisťovanie ovzdušia</t>
  </si>
  <si>
    <t>2.6.</t>
  </si>
  <si>
    <t>Poplatok za zber, prepravu a zneškodň. KO</t>
  </si>
  <si>
    <t>2.7.</t>
  </si>
  <si>
    <t>Za jadrové zariadenie</t>
  </si>
  <si>
    <t>2.8.</t>
  </si>
  <si>
    <t>2.9.</t>
  </si>
  <si>
    <t>Za vjazd a zotrvanie mot.voz.v histor.časti</t>
  </si>
  <si>
    <t>3.</t>
  </si>
  <si>
    <t>Správne poplatky</t>
  </si>
  <si>
    <t>za prevádzkovanie výherných prístrojov</t>
  </si>
  <si>
    <t>za úkony stavebného úradu</t>
  </si>
  <si>
    <t xml:space="preserve">za osvedčovaciu činnosť </t>
  </si>
  <si>
    <t>odpis úradných kníh, rodných listov,...</t>
  </si>
  <si>
    <t>za rybárske lístky (do r. 2009 v ostatných príjmoch)</t>
  </si>
  <si>
    <t>ostatné správne poplatky</t>
  </si>
  <si>
    <t>4.</t>
  </si>
  <si>
    <t>Poplatok za uloženie odpadu</t>
  </si>
  <si>
    <t>5.</t>
  </si>
  <si>
    <t>Pokuty</t>
  </si>
  <si>
    <t>pokuty MsP</t>
  </si>
  <si>
    <t>pokuty mestského úradu</t>
  </si>
  <si>
    <t>pokuty obvodeného úradu</t>
  </si>
  <si>
    <t>pokuty stavebného úradu</t>
  </si>
  <si>
    <t>6.</t>
  </si>
  <si>
    <t>Finančná náhrada za výrub stromov</t>
  </si>
  <si>
    <t>VÝNOSY Z MAJETKU MESTA</t>
  </si>
  <si>
    <t>Nájomné</t>
  </si>
  <si>
    <t>za pozemky pod pred.stánkami</t>
  </si>
  <si>
    <t>exteriérové sedenia</t>
  </si>
  <si>
    <t>z prenájmu priestorov počas Vianočných trhov</t>
  </si>
  <si>
    <t>z prenájmu priestorov počas TTJ</t>
  </si>
  <si>
    <t>ostatné pozemky</t>
  </si>
  <si>
    <t>za byty</t>
  </si>
  <si>
    <t>za nebytové priestory</t>
  </si>
  <si>
    <t>nájomné za zariadenia tep. hospodárstva</t>
  </si>
  <si>
    <t>parkovanie v CMZ</t>
  </si>
  <si>
    <t>iné prenájmy (dotrieď.linka, zariad.na sep.zber,..)</t>
  </si>
  <si>
    <t>Príjem z finančného hospodárenia</t>
  </si>
  <si>
    <t>dividendy z Dexie banky</t>
  </si>
  <si>
    <t>podiel na zisku .A.S.A. s.r.o.</t>
  </si>
  <si>
    <t>dividendy - TT Komfort s.r.o.</t>
  </si>
  <si>
    <t>úroky z účtov a viazaných vkladov</t>
  </si>
  <si>
    <t>Príjem zo skládky komunálneho odpadu</t>
  </si>
  <si>
    <t>Ostatné príjmy</t>
  </si>
  <si>
    <t>z kultúrnej činnosti</t>
  </si>
  <si>
    <t>za rozhlas v Modranke</t>
  </si>
  <si>
    <t>predaj propag.materiálu, upomienk.predmetov</t>
  </si>
  <si>
    <t>sprievodcovská činnosť</t>
  </si>
  <si>
    <t>Vino Tirnavia</t>
  </si>
  <si>
    <t>vstupné z kult. Podujatí</t>
  </si>
  <si>
    <t>za rybárske lístky (od r. 2010 v správnych poplatkoch)</t>
  </si>
  <si>
    <t>z prevádzkovania stávkových hier</t>
  </si>
  <si>
    <t>príjem od SAD a.s.</t>
  </si>
  <si>
    <t>zisk z TTJ</t>
  </si>
  <si>
    <t>ples mesta - tombola, vstupné</t>
  </si>
  <si>
    <t>sponzorské za reklamu</t>
  </si>
  <si>
    <t>vecné bremeno za odplatu</t>
  </si>
  <si>
    <t>prenájom stánkov na Dni zdravia</t>
  </si>
  <si>
    <t>dobropisy, vratky</t>
  </si>
  <si>
    <t>ostatné</t>
  </si>
  <si>
    <t>náhrada od fy Orange</t>
  </si>
  <si>
    <t>kapit.</t>
  </si>
  <si>
    <t>Príjem z predaja majetku</t>
  </si>
  <si>
    <t>PODIELOVÉ DANE</t>
  </si>
  <si>
    <t>bežné príjmy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</si>
</sst>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+\ #,##0"/>
    <numFmt numFmtId="173" formatCode="[$-41B]d\.\ mmmm\ yyyy"/>
  </numFmts>
  <fonts count="61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i/>
      <sz val="10"/>
      <color indexed="10"/>
      <name val="Times New Roman"/>
      <family val="1"/>
    </font>
    <font>
      <sz val="9"/>
      <name val="Times New Roman"/>
      <family val="1"/>
    </font>
    <font>
      <b/>
      <sz val="15"/>
      <name val="Times New Roman"/>
      <family val="1"/>
    </font>
    <font>
      <b/>
      <sz val="10"/>
      <color indexed="20"/>
      <name val="Times New Roman"/>
      <family val="1"/>
    </font>
    <font>
      <b/>
      <sz val="12"/>
      <color indexed="20"/>
      <name val="Times New Roman"/>
      <family val="1"/>
    </font>
    <font>
      <b/>
      <sz val="10"/>
      <color indexed="12"/>
      <name val="Times New Roman"/>
      <family val="1"/>
    </font>
    <font>
      <sz val="10"/>
      <color indexed="57"/>
      <name val="Times New Roman"/>
      <family val="1"/>
    </font>
    <font>
      <b/>
      <sz val="10"/>
      <color indexed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61"/>
      <name val="Times New Roman"/>
      <family val="1"/>
    </font>
    <font>
      <sz val="10"/>
      <color indexed="6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u val="single"/>
      <sz val="12"/>
      <name val="Arial"/>
      <family val="2"/>
    </font>
    <font>
      <b/>
      <i/>
      <u val="single"/>
      <sz val="10"/>
      <name val="Times New Roman"/>
      <family val="1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double"/>
      <right style="thin"/>
      <top style="thin">
        <color indexed="22"/>
      </top>
      <bottom style="thin">
        <color indexed="22"/>
      </bottom>
    </border>
    <border>
      <left style="double"/>
      <right style="thin"/>
      <top style="thin">
        <color indexed="22"/>
      </top>
      <bottom>
        <color indexed="63"/>
      </bottom>
    </border>
    <border>
      <left style="thin"/>
      <right style="double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 style="double"/>
      <right style="thin"/>
      <top style="thin"/>
      <bottom style="thin">
        <color indexed="22"/>
      </bottom>
    </border>
    <border>
      <left style="double"/>
      <right style="thin"/>
      <top style="thin">
        <color indexed="22"/>
      </top>
      <bottom style="double"/>
    </border>
    <border>
      <left style="thin"/>
      <right style="double"/>
      <top style="thin">
        <color indexed="22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22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22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22"/>
      </top>
      <bottom style="medium">
        <color indexed="8"/>
      </bottom>
    </border>
    <border>
      <left style="double"/>
      <right style="thin"/>
      <top style="thin">
        <color indexed="22"/>
      </top>
      <bottom style="medium">
        <color indexed="8"/>
      </bottom>
    </border>
    <border>
      <left style="thin"/>
      <right style="double"/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22"/>
      </bottom>
    </border>
    <border>
      <left style="medium">
        <color indexed="8"/>
      </left>
      <right style="thin"/>
      <top style="thin">
        <color indexed="22"/>
      </top>
      <bottom style="thin">
        <color indexed="22"/>
      </bottom>
    </border>
    <border>
      <left style="medium">
        <color indexed="8"/>
      </left>
      <right style="thin"/>
      <top style="thin"/>
      <bottom style="thin">
        <color indexed="22"/>
      </bottom>
    </border>
    <border>
      <left style="medium">
        <color indexed="8"/>
      </left>
      <right style="thin"/>
      <top style="thin">
        <color indexed="22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>
        <color indexed="63"/>
      </bottom>
    </border>
    <border>
      <left style="medium"/>
      <right style="thin"/>
      <top>
        <color indexed="63"/>
      </top>
      <bottom style="thin">
        <color indexed="22"/>
      </bottom>
    </border>
    <border>
      <left style="thin"/>
      <right style="medium"/>
      <top style="thin">
        <color indexed="22"/>
      </top>
      <bottom style="medium"/>
    </border>
    <border>
      <left style="thin"/>
      <right style="medium"/>
      <top style="thin">
        <color indexed="22"/>
      </top>
      <bottom style="thin"/>
    </border>
    <border>
      <left style="double"/>
      <right style="thin"/>
      <top style="thin">
        <color indexed="22"/>
      </top>
      <bottom style="medium"/>
    </border>
    <border>
      <left style="medium"/>
      <right style="thin"/>
      <top style="thin">
        <color indexed="22"/>
      </top>
      <bottom style="medium"/>
    </border>
    <border>
      <left style="thin"/>
      <right style="double"/>
      <top style="thin">
        <color indexed="22"/>
      </top>
      <bottom style="medium"/>
    </border>
    <border>
      <left style="medium">
        <color indexed="8"/>
      </left>
      <right style="thin"/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double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double">
        <color indexed="8"/>
      </right>
      <top>
        <color indexed="63"/>
      </top>
      <bottom style="thin">
        <color indexed="22"/>
      </bottom>
    </border>
    <border>
      <left style="thin"/>
      <right style="double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22"/>
      </bottom>
    </border>
    <border>
      <left style="thin">
        <color indexed="8"/>
      </left>
      <right style="double">
        <color indexed="8"/>
      </right>
      <top style="thin"/>
      <bottom style="thin">
        <color indexed="22"/>
      </bottom>
    </border>
    <border>
      <left style="thin"/>
      <right style="double">
        <color indexed="8"/>
      </right>
      <top style="thin"/>
      <bottom style="thin">
        <color indexed="22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double"/>
      <right style="thin"/>
      <top>
        <color indexed="63"/>
      </top>
      <bottom style="thin">
        <color indexed="22"/>
      </bottom>
    </border>
    <border>
      <left style="thin"/>
      <right style="double"/>
      <top>
        <color indexed="63"/>
      </top>
      <bottom style="thin">
        <color indexed="22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>
        <color indexed="22"/>
      </bottom>
    </border>
    <border>
      <left style="double">
        <color indexed="8"/>
      </left>
      <right style="thin">
        <color indexed="8"/>
      </right>
      <top style="thin"/>
      <bottom style="thin">
        <color indexed="22"/>
      </bottom>
    </border>
    <border>
      <left style="double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/>
      <right style="double">
        <color indexed="8"/>
      </right>
      <top style="thin">
        <color indexed="22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/>
      <right style="double"/>
      <top style="thin"/>
      <bottom style="medium"/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thin">
        <color indexed="22"/>
      </top>
      <bottom>
        <color indexed="63"/>
      </bottom>
    </border>
    <border>
      <left style="thin"/>
      <right style="double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/>
    </border>
    <border>
      <left style="thin"/>
      <right style="medium"/>
      <top style="thin">
        <color indexed="22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/>
    </border>
    <border>
      <left style="thin">
        <color indexed="8"/>
      </left>
      <right style="double">
        <color indexed="8"/>
      </right>
      <top style="thin"/>
      <bottom style="medium">
        <color indexed="8"/>
      </bottom>
    </border>
    <border>
      <left style="thin">
        <color indexed="8"/>
      </left>
      <right style="double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>
        <color indexed="22"/>
      </top>
      <bottom style="thin">
        <color indexed="22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22"/>
      </top>
      <bottom style="medium"/>
    </border>
    <border>
      <left style="thin"/>
      <right style="double">
        <color indexed="8"/>
      </right>
      <top style="thin">
        <color indexed="22"/>
      </top>
      <bottom style="medium"/>
    </border>
    <border>
      <left style="double">
        <color indexed="8"/>
      </left>
      <right style="thin">
        <color indexed="8"/>
      </right>
      <top style="thin">
        <color indexed="22"/>
      </top>
      <bottom style="medium"/>
    </border>
    <border>
      <left style="thin">
        <color indexed="8"/>
      </left>
      <right style="thin">
        <color indexed="8"/>
      </right>
      <top style="thin">
        <color indexed="22"/>
      </top>
      <bottom style="medium"/>
    </border>
    <border>
      <left style="thin">
        <color indexed="8"/>
      </left>
      <right style="double">
        <color indexed="8"/>
      </right>
      <top style="thin">
        <color indexed="22"/>
      </top>
      <bottom style="medium"/>
    </border>
    <border>
      <left style="thin">
        <color indexed="8"/>
      </left>
      <right style="medium">
        <color indexed="8"/>
      </right>
      <top style="thin">
        <color indexed="22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double"/>
      <right style="thin"/>
      <top style="medium">
        <color indexed="8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double">
        <color indexed="8"/>
      </left>
      <right style="thin">
        <color indexed="8"/>
      </right>
      <top style="thin">
        <color indexed="22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double"/>
      <right style="thin"/>
      <top style="thin">
        <color indexed="22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63"/>
      </left>
      <right style="thin">
        <color indexed="63"/>
      </right>
      <top style="thin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>
        <color indexed="8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medium"/>
      <right style="thin"/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medium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>
        <color indexed="63"/>
      </top>
      <bottom style="thin">
        <color indexed="22"/>
      </bottom>
    </border>
    <border>
      <left style="thin"/>
      <right style="medium">
        <color indexed="8"/>
      </right>
      <top style="thin">
        <color indexed="22"/>
      </top>
      <bottom style="thin">
        <color indexed="22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medium">
        <color indexed="8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medium">
        <color indexed="8"/>
      </right>
      <top style="thin"/>
      <bottom style="thin">
        <color indexed="22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63"/>
      </right>
      <top style="medium">
        <color indexed="63"/>
      </top>
      <bottom style="thin"/>
    </border>
    <border>
      <left>
        <color indexed="63"/>
      </left>
      <right style="thin">
        <color indexed="63"/>
      </right>
      <top style="thin"/>
      <bottom style="medium">
        <color indexed="8"/>
      </bottom>
    </border>
    <border>
      <left style="thin">
        <color indexed="63"/>
      </left>
      <right>
        <color indexed="63"/>
      </right>
      <top style="medium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double"/>
      <top>
        <color indexed="63"/>
      </top>
      <bottom style="thin"/>
    </border>
    <border>
      <left style="thin">
        <color indexed="8"/>
      </left>
      <right style="double"/>
      <top style="thin"/>
      <bottom style="thin"/>
    </border>
    <border>
      <left style="thin">
        <color indexed="8"/>
      </left>
      <right style="double"/>
      <top style="thin"/>
      <bottom style="medium">
        <color indexed="8"/>
      </bottom>
    </border>
    <border>
      <left style="thin">
        <color indexed="8"/>
      </left>
      <right style="double"/>
      <top style="thin"/>
      <bottom style="thin">
        <color indexed="22"/>
      </bottom>
    </border>
    <border>
      <left style="thin">
        <color indexed="8"/>
      </left>
      <right style="double"/>
      <top style="thin">
        <color indexed="22"/>
      </top>
      <bottom style="thin">
        <color indexed="22"/>
      </bottom>
    </border>
    <border>
      <left style="double">
        <color indexed="8"/>
      </left>
      <right style="thin">
        <color indexed="8"/>
      </right>
      <top style="thin">
        <color indexed="22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double">
        <color indexed="8"/>
      </right>
      <top style="thin"/>
      <bottom style="double">
        <color indexed="8"/>
      </bottom>
    </border>
    <border>
      <left style="double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 style="thin">
        <color indexed="8"/>
      </left>
      <right style="thin"/>
      <top style="thin"/>
      <bottom style="medium">
        <color indexed="8"/>
      </bottom>
    </border>
    <border>
      <left style="double">
        <color indexed="8"/>
      </left>
      <right style="thin"/>
      <top>
        <color indexed="63"/>
      </top>
      <bottom style="thin"/>
    </border>
    <border>
      <left style="double">
        <color indexed="8"/>
      </left>
      <right style="thin"/>
      <top style="thin"/>
      <bottom style="thin"/>
    </border>
    <border>
      <left style="double">
        <color indexed="8"/>
      </left>
      <right style="thin"/>
      <top style="thin"/>
      <bottom style="double">
        <color indexed="8"/>
      </bottom>
    </border>
    <border>
      <left style="thin"/>
      <right style="double">
        <color indexed="8"/>
      </right>
      <top style="thin"/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double"/>
      <top style="medium">
        <color indexed="8"/>
      </top>
      <bottom>
        <color indexed="63"/>
      </bottom>
    </border>
    <border>
      <left style="double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double"/>
      <right style="thin"/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 style="thin"/>
      <right style="thin"/>
      <top style="thin">
        <color indexed="22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 style="double"/>
      <top style="thin">
        <color indexed="55"/>
      </top>
      <bottom style="thin">
        <color indexed="22"/>
      </bottom>
    </border>
    <border>
      <left style="double"/>
      <right style="thin"/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/>
      <right style="thin"/>
      <top style="thin">
        <color indexed="55"/>
      </top>
      <bottom style="thin">
        <color indexed="22"/>
      </bottom>
    </border>
    <border>
      <left style="thin">
        <color indexed="8"/>
      </left>
      <right style="double">
        <color indexed="8"/>
      </right>
      <top style="thin">
        <color indexed="22"/>
      </top>
      <bottom style="double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22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8"/>
      </right>
      <top style="thin">
        <color indexed="8"/>
      </top>
      <bottom style="thin">
        <color indexed="22"/>
      </bottom>
    </border>
    <border>
      <left style="double"/>
      <right style="thin"/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22"/>
      </top>
      <bottom style="medium"/>
    </border>
    <border>
      <left style="thin">
        <color indexed="8"/>
      </left>
      <right style="medium"/>
      <top style="thin">
        <color indexed="22"/>
      </top>
      <bottom style="thin">
        <color indexed="22"/>
      </bottom>
    </border>
    <border>
      <left style="thin">
        <color indexed="8"/>
      </left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double">
        <color indexed="63"/>
      </left>
      <right style="thin">
        <color indexed="63"/>
      </right>
      <top style="medium">
        <color indexed="63"/>
      </top>
      <bottom style="thin"/>
    </border>
    <border>
      <left style="thin">
        <color indexed="63"/>
      </left>
      <right style="thin">
        <color indexed="63"/>
      </right>
      <top style="medium">
        <color indexed="63"/>
      </top>
      <bottom style="thin"/>
    </border>
    <border>
      <left style="double">
        <color indexed="63"/>
      </left>
      <right style="thin">
        <color indexed="63"/>
      </right>
      <top style="thin"/>
      <bottom style="medium">
        <color indexed="8"/>
      </bottom>
    </border>
    <border>
      <left style="thin"/>
      <right style="medium"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thin"/>
      <right style="medium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medium">
        <color indexed="63"/>
      </left>
      <right style="thin"/>
      <top>
        <color indexed="63"/>
      </top>
      <bottom style="thin"/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medium"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medium"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/>
      <top style="thin">
        <color indexed="22"/>
      </top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/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22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22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22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63"/>
      </bottom>
    </border>
    <border>
      <left style="double">
        <color indexed="63"/>
      </left>
      <right style="thin">
        <color indexed="63"/>
      </right>
      <top style="thin">
        <color indexed="22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22"/>
      </top>
      <bottom style="medium">
        <color indexed="63"/>
      </bottom>
    </border>
    <border>
      <left style="thin">
        <color indexed="8"/>
      </left>
      <right style="medium">
        <color indexed="8"/>
      </right>
      <top style="thin">
        <color indexed="22"/>
      </top>
      <bottom style="medium"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double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medium">
        <color indexed="8"/>
      </bottom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>
        <color indexed="8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thin"/>
      <bottom style="double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 style="thin"/>
      <bottom style="thin"/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 style="medium">
        <color indexed="8"/>
      </top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22"/>
      </top>
      <bottom style="medium">
        <color indexed="8"/>
      </bottom>
    </border>
    <border>
      <left style="thin"/>
      <right style="double">
        <color indexed="8"/>
      </right>
      <top style="thin">
        <color indexed="22"/>
      </top>
      <bottom style="thin"/>
    </border>
    <border>
      <left style="thin"/>
      <right style="medium"/>
      <top style="thin">
        <color indexed="8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medium">
        <color indexed="63"/>
      </bottom>
    </border>
    <border>
      <left style="medium">
        <color indexed="63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55"/>
      </top>
      <bottom style="medium">
        <color indexed="8"/>
      </bottom>
    </border>
    <border>
      <left style="thin"/>
      <right>
        <color indexed="63"/>
      </right>
      <top style="thin">
        <color indexed="55"/>
      </top>
      <bottom style="medium">
        <color indexed="8"/>
      </bottom>
    </border>
    <border>
      <left style="thin"/>
      <right style="thin"/>
      <top style="thin">
        <color indexed="55"/>
      </top>
      <bottom style="medium"/>
    </border>
    <border>
      <left style="thin"/>
      <right style="thin"/>
      <top style="thin">
        <color indexed="55"/>
      </top>
      <bottom style="medium">
        <color indexed="8"/>
      </bottom>
    </border>
    <border>
      <left style="thin"/>
      <right style="double"/>
      <top style="thin">
        <color indexed="55"/>
      </top>
      <bottom style="medium">
        <color indexed="8"/>
      </bottom>
    </border>
    <border>
      <left style="double"/>
      <right style="thin"/>
      <top style="thin">
        <color indexed="55"/>
      </top>
      <bottom style="medium">
        <color indexed="8"/>
      </bottom>
    </border>
    <border>
      <left style="thin"/>
      <right style="medium"/>
      <top style="thin">
        <color indexed="55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55"/>
      </bottom>
    </border>
    <border>
      <left style="thin"/>
      <right style="medium">
        <color indexed="8"/>
      </right>
      <top style="thin">
        <color indexed="22"/>
      </top>
      <bottom style="thin">
        <color indexed="55"/>
      </bottom>
    </border>
    <border>
      <left style="double">
        <color indexed="8"/>
      </left>
      <right style="thin">
        <color indexed="8"/>
      </right>
      <top style="thin">
        <color indexed="22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55"/>
      </bottom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55"/>
      </top>
      <bottom style="medium">
        <color indexed="8"/>
      </bottom>
    </border>
    <border>
      <left style="thin"/>
      <right style="medium"/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double"/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double"/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/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22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double"/>
      <right style="thin"/>
      <top style="thin">
        <color indexed="55"/>
      </top>
      <bottom style="thin">
        <color indexed="55"/>
      </bottom>
    </border>
    <border>
      <left style="thin"/>
      <right style="double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double"/>
      <right style="thin"/>
      <top style="thin">
        <color indexed="55"/>
      </top>
      <bottom style="thin"/>
    </border>
    <border>
      <left style="thin"/>
      <right style="double"/>
      <top style="thin">
        <color indexed="55"/>
      </top>
      <bottom style="thin"/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/>
      <right style="medium"/>
      <top style="thin">
        <color indexed="55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double"/>
      <right style="thin"/>
      <top>
        <color indexed="63"/>
      </top>
      <bottom style="thin">
        <color indexed="55"/>
      </bottom>
    </border>
    <border>
      <left style="thin"/>
      <right style="double"/>
      <top>
        <color indexed="63"/>
      </top>
      <bottom style="thin">
        <color indexed="55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medium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double"/>
      <top style="thin">
        <color indexed="55"/>
      </top>
      <bottom>
        <color indexed="63"/>
      </bottom>
    </border>
    <border>
      <left style="double"/>
      <right style="thin"/>
      <top style="thin">
        <color indexed="55"/>
      </top>
      <bottom>
        <color indexed="63"/>
      </bottom>
    </border>
    <border>
      <left style="medium"/>
      <right style="thin"/>
      <top style="thin"/>
      <bottom style="thin">
        <color indexed="55"/>
      </bottom>
    </border>
    <border>
      <left style="thin"/>
      <right style="double"/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double"/>
      <right style="thin"/>
      <top style="medium"/>
      <bottom style="thin">
        <color indexed="55"/>
      </bottom>
    </border>
    <border>
      <left style="thin"/>
      <right style="double"/>
      <top style="medium"/>
      <bottom style="thin">
        <color indexed="55"/>
      </bottom>
    </border>
    <border>
      <left style="thin"/>
      <right style="thin"/>
      <top style="medium"/>
      <bottom style="thin">
        <color indexed="55"/>
      </bottom>
    </border>
    <border>
      <left style="thin"/>
      <right style="medium"/>
      <top style="medium"/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/>
    </border>
    <border>
      <left style="medium"/>
      <right>
        <color indexed="63"/>
      </right>
      <top style="thin"/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medium"/>
      <bottom style="thin">
        <color indexed="55"/>
      </bottom>
    </border>
    <border>
      <left style="thin"/>
      <right>
        <color indexed="63"/>
      </right>
      <top style="medium"/>
      <bottom style="thin">
        <color indexed="55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thin"/>
      <bottom style="medium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>
        <color indexed="55"/>
      </bottom>
    </border>
    <border>
      <left style="thin">
        <color indexed="8"/>
      </left>
      <right style="medium"/>
      <top style="thin">
        <color indexed="55"/>
      </top>
      <bottom style="thin">
        <color indexed="22"/>
      </bottom>
    </border>
    <border>
      <left>
        <color indexed="63"/>
      </left>
      <right style="thin">
        <color indexed="8"/>
      </right>
      <top style="thin"/>
      <bottom style="thin">
        <color indexed="55"/>
      </bottom>
    </border>
    <border>
      <left>
        <color indexed="63"/>
      </left>
      <right style="thin">
        <color indexed="8"/>
      </right>
      <top style="thin">
        <color indexed="55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>
        <color indexed="8"/>
      </right>
      <top style="thin"/>
      <bottom style="medium">
        <color indexed="8"/>
      </bottom>
    </border>
    <border>
      <left style="double"/>
      <right style="thin">
        <color indexed="8"/>
      </right>
      <top style="thin"/>
      <bottom style="thin"/>
    </border>
    <border>
      <left style="double"/>
      <right style="thin">
        <color indexed="8"/>
      </right>
      <top>
        <color indexed="63"/>
      </top>
      <bottom style="thin"/>
    </border>
    <border>
      <left style="double"/>
      <right style="thin">
        <color indexed="8"/>
      </right>
      <top style="thin"/>
      <bottom style="thin">
        <color indexed="55"/>
      </bottom>
    </border>
    <border>
      <left style="thin">
        <color indexed="8"/>
      </left>
      <right style="double"/>
      <top style="thin"/>
      <bottom style="thin">
        <color indexed="55"/>
      </bottom>
    </border>
    <border>
      <left style="double"/>
      <right style="thin">
        <color indexed="8"/>
      </right>
      <top style="thin">
        <color indexed="55"/>
      </top>
      <bottom style="thin">
        <color indexed="22"/>
      </bottom>
    </border>
    <border>
      <left style="thin">
        <color indexed="8"/>
      </left>
      <right style="double"/>
      <top style="thin">
        <color indexed="55"/>
      </top>
      <bottom style="thin">
        <color indexed="22"/>
      </bottom>
    </border>
    <border>
      <left style="double"/>
      <right style="thin">
        <color indexed="8"/>
      </right>
      <top style="thin">
        <color indexed="22"/>
      </top>
      <bottom style="thin">
        <color indexed="22"/>
      </bottom>
    </border>
    <border>
      <left style="double"/>
      <right style="thin">
        <color indexed="8"/>
      </right>
      <top style="thin">
        <color indexed="22"/>
      </top>
      <bottom style="double"/>
    </border>
    <border>
      <left style="thin">
        <color indexed="8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/>
      <bottom style="thin">
        <color indexed="22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/>
      <right style="thin">
        <color indexed="8"/>
      </right>
      <top style="thin"/>
      <bottom style="thin">
        <color indexed="22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double">
        <color indexed="8"/>
      </left>
      <right style="thin"/>
      <top style="thin"/>
      <bottom style="medium">
        <color indexed="8"/>
      </bottom>
    </border>
    <border>
      <left style="double">
        <color indexed="8"/>
      </left>
      <right style="thin"/>
      <top style="medium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 style="thin">
        <color indexed="22"/>
      </top>
      <bottom style="thin">
        <color indexed="22"/>
      </bottom>
    </border>
    <border>
      <left style="double">
        <color indexed="8"/>
      </left>
      <right style="thin"/>
      <top style="thin">
        <color indexed="22"/>
      </top>
      <bottom>
        <color indexed="63"/>
      </bottom>
    </border>
    <border>
      <left style="double">
        <color indexed="8"/>
      </left>
      <right style="thin"/>
      <top style="thin"/>
      <bottom style="thin">
        <color indexed="22"/>
      </bottom>
    </border>
    <border>
      <left style="double">
        <color indexed="8"/>
      </left>
      <right style="thin"/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22"/>
      </top>
      <bottom>
        <color indexed="63"/>
      </bottom>
    </border>
    <border>
      <left style="double"/>
      <right style="thin">
        <color indexed="8"/>
      </right>
      <top style="thin"/>
      <bottom style="double"/>
    </border>
    <border>
      <left style="thin">
        <color indexed="8"/>
      </left>
      <right style="double"/>
      <top style="thin"/>
      <bottom style="double"/>
    </border>
    <border>
      <left style="double"/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double"/>
      <top>
        <color indexed="63"/>
      </top>
      <bottom style="thin">
        <color indexed="22"/>
      </bottom>
    </border>
    <border>
      <left style="double"/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double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>
        <color indexed="8"/>
      </bottom>
    </border>
    <border>
      <left style="medium"/>
      <right style="thin"/>
      <top style="thin">
        <color indexed="22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medium">
        <color indexed="63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8"/>
      </right>
      <top style="thin">
        <color indexed="55"/>
      </top>
      <bottom style="medium">
        <color indexed="8"/>
      </bottom>
    </border>
    <border>
      <left style="double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/>
      <right style="thin">
        <color indexed="8"/>
      </right>
      <top style="thin">
        <color indexed="22"/>
      </top>
      <bottom style="thin">
        <color indexed="55"/>
      </bottom>
    </border>
    <border>
      <left style="thin">
        <color indexed="8"/>
      </left>
      <right style="double"/>
      <top style="thin">
        <color indexed="22"/>
      </top>
      <bottom style="thin">
        <color indexed="55"/>
      </bottom>
    </border>
    <border>
      <left style="double"/>
      <right style="thin">
        <color indexed="8"/>
      </right>
      <top style="thin">
        <color indexed="55"/>
      </top>
      <bottom style="double"/>
    </border>
    <border>
      <left style="thin">
        <color indexed="8"/>
      </left>
      <right style="double"/>
      <top style="thin">
        <color indexed="55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medium"/>
      <right style="thin"/>
      <top style="thin">
        <color indexed="22"/>
      </top>
      <bottom style="thin"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double"/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22"/>
      </bottom>
    </border>
    <border>
      <left style="thin"/>
      <right style="double">
        <color indexed="8"/>
      </right>
      <top style="thin">
        <color indexed="8"/>
      </top>
      <bottom style="thin">
        <color indexed="22"/>
      </bottom>
    </border>
    <border>
      <left style="double">
        <color indexed="8"/>
      </left>
      <right style="thin"/>
      <top style="thin">
        <color indexed="22"/>
      </top>
      <bottom style="double">
        <color indexed="8"/>
      </bottom>
    </border>
    <border>
      <left style="thin"/>
      <right style="double">
        <color indexed="8"/>
      </right>
      <top style="thin">
        <color indexed="22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22"/>
      </bottom>
    </border>
    <border>
      <left style="medium"/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8"/>
      </right>
      <top style="thin">
        <color indexed="22"/>
      </top>
      <bottom style="thin">
        <color indexed="22"/>
      </bottom>
    </border>
    <border>
      <left style="medium"/>
      <right style="thin">
        <color indexed="8"/>
      </right>
      <top style="thin">
        <color indexed="22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double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double"/>
      <right style="double"/>
      <top style="thin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22"/>
      </top>
      <bottom style="thin"/>
    </border>
    <border>
      <left style="double"/>
      <right style="thin">
        <color indexed="8"/>
      </right>
      <top style="thin">
        <color indexed="22"/>
      </top>
      <bottom style="thin"/>
    </border>
    <border>
      <left style="thin">
        <color indexed="8"/>
      </left>
      <right style="double"/>
      <top style="thin">
        <color indexed="22"/>
      </top>
      <bottom style="thin"/>
    </border>
    <border>
      <left>
        <color indexed="63"/>
      </left>
      <right style="thin">
        <color indexed="8"/>
      </right>
      <top style="thin">
        <color indexed="22"/>
      </top>
      <bottom style="thin"/>
    </border>
    <border>
      <left style="thin">
        <color indexed="8"/>
      </left>
      <right style="medium"/>
      <top style="thin">
        <color indexed="22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double"/>
      <top style="double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double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double"/>
      <top>
        <color indexed="63"/>
      </top>
      <bottom style="medium">
        <color indexed="8"/>
      </bottom>
    </border>
    <border>
      <left style="double"/>
      <right style="thin"/>
      <top style="double">
        <color indexed="8"/>
      </top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medium"/>
      <top style="double">
        <color indexed="8"/>
      </top>
      <bottom style="thin"/>
    </border>
    <border>
      <left style="double"/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thin"/>
      <top style="double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double"/>
      <right style="thin">
        <color indexed="8"/>
      </right>
      <top style="double"/>
      <bottom style="thin"/>
    </border>
    <border>
      <left style="thin">
        <color indexed="8"/>
      </left>
      <right style="double"/>
      <top style="double"/>
      <bottom style="thin"/>
    </border>
    <border>
      <left style="double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double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>
        <color indexed="8"/>
      </left>
      <right style="thin"/>
      <top style="medium">
        <color indexed="8"/>
      </top>
      <bottom style="thin">
        <color indexed="22"/>
      </bottom>
    </border>
    <border>
      <left style="thin"/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/>
      <top style="thin">
        <color indexed="22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22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1" borderId="5" applyNumberFormat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3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1" xfId="56" applyNumberFormat="1" applyFont="1" applyFill="1" applyBorder="1" applyAlignment="1">
      <alignment/>
      <protection/>
    </xf>
    <xf numFmtId="49" fontId="5" fillId="0" borderId="0" xfId="0" applyNumberFormat="1" applyFont="1" applyFill="1" applyAlignment="1">
      <alignment/>
    </xf>
    <xf numFmtId="3" fontId="9" fillId="23" borderId="13" xfId="0" applyNumberFormat="1" applyFont="1" applyFill="1" applyBorder="1" applyAlignment="1">
      <alignment horizontal="right"/>
    </xf>
    <xf numFmtId="3" fontId="9" fillId="4" borderId="13" xfId="0" applyNumberFormat="1" applyFont="1" applyFill="1" applyBorder="1" applyAlignment="1">
      <alignment horizontal="right"/>
    </xf>
    <xf numFmtId="3" fontId="9" fillId="23" borderId="14" xfId="0" applyNumberFormat="1" applyFont="1" applyFill="1" applyBorder="1" applyAlignment="1">
      <alignment horizontal="right"/>
    </xf>
    <xf numFmtId="3" fontId="9" fillId="4" borderId="14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3" fontId="8" fillId="20" borderId="14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8" fillId="20" borderId="15" xfId="0" applyNumberFormat="1" applyFont="1" applyFill="1" applyBorder="1" applyAlignment="1">
      <alignment horizontal="right"/>
    </xf>
    <xf numFmtId="3" fontId="9" fillId="23" borderId="15" xfId="0" applyNumberFormat="1" applyFont="1" applyFill="1" applyBorder="1" applyAlignment="1">
      <alignment horizontal="right"/>
    </xf>
    <xf numFmtId="3" fontId="9" fillId="4" borderId="1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49" fontId="5" fillId="0" borderId="19" xfId="56" applyNumberFormat="1" applyFont="1" applyFill="1" applyBorder="1" applyAlignment="1">
      <alignment horizontal="left" indent="1"/>
      <protection/>
    </xf>
    <xf numFmtId="3" fontId="5" fillId="0" borderId="20" xfId="0" applyNumberFormat="1" applyFont="1" applyFill="1" applyBorder="1" applyAlignment="1">
      <alignment/>
    </xf>
    <xf numFmtId="3" fontId="5" fillId="0" borderId="20" xfId="56" applyNumberFormat="1" applyFont="1" applyFill="1" applyBorder="1" applyAlignment="1">
      <alignment/>
      <protection/>
    </xf>
    <xf numFmtId="3" fontId="5" fillId="0" borderId="10" xfId="56" applyNumberFormat="1" applyFont="1" applyFill="1" applyBorder="1" applyAlignment="1">
      <alignment/>
      <protection/>
    </xf>
    <xf numFmtId="3" fontId="5" fillId="0" borderId="2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11" xfId="56" applyNumberFormat="1" applyFont="1" applyFill="1" applyBorder="1">
      <alignment/>
      <protection/>
    </xf>
    <xf numFmtId="3" fontId="5" fillId="0" borderId="10" xfId="56" applyNumberFormat="1" applyFont="1" applyFill="1" applyBorder="1">
      <alignment/>
      <protection/>
    </xf>
    <xf numFmtId="3" fontId="5" fillId="0" borderId="20" xfId="56" applyNumberFormat="1" applyFont="1" applyFill="1" applyBorder="1">
      <alignment/>
      <protection/>
    </xf>
    <xf numFmtId="3" fontId="5" fillId="0" borderId="11" xfId="58" applyNumberFormat="1" applyFont="1" applyFill="1" applyBorder="1" applyAlignment="1">
      <alignment horizontal="right"/>
      <protection/>
    </xf>
    <xf numFmtId="3" fontId="5" fillId="0" borderId="22" xfId="56" applyNumberFormat="1" applyFont="1" applyFill="1" applyBorder="1">
      <alignment/>
      <protection/>
    </xf>
    <xf numFmtId="3" fontId="5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5" fillId="0" borderId="10" xfId="56" applyNumberFormat="1" applyFont="1" applyFill="1" applyBorder="1" applyAlignment="1">
      <alignment horizontal="left" indent="1"/>
      <protection/>
    </xf>
    <xf numFmtId="14" fontId="9" fillId="4" borderId="13" xfId="58" applyNumberFormat="1" applyFont="1" applyFill="1" applyBorder="1" applyAlignment="1">
      <alignment horizontal="left"/>
      <protection/>
    </xf>
    <xf numFmtId="3" fontId="5" fillId="0" borderId="0" xfId="0" applyNumberFormat="1" applyFont="1" applyAlignment="1">
      <alignment/>
    </xf>
    <xf numFmtId="3" fontId="5" fillId="0" borderId="24" xfId="58" applyNumberFormat="1" applyFont="1" applyFill="1" applyBorder="1" applyAlignment="1">
      <alignment horizontal="left"/>
      <protection/>
    </xf>
    <xf numFmtId="3" fontId="5" fillId="0" borderId="19" xfId="58" applyNumberFormat="1" applyFont="1" applyFill="1" applyBorder="1" applyAlignment="1">
      <alignment horizontal="left"/>
      <protection/>
    </xf>
    <xf numFmtId="3" fontId="5" fillId="0" borderId="10" xfId="58" applyNumberFormat="1" applyFont="1" applyFill="1" applyBorder="1" applyAlignment="1">
      <alignment horizontal="right"/>
      <protection/>
    </xf>
    <xf numFmtId="3" fontId="5" fillId="0" borderId="20" xfId="58" applyNumberFormat="1" applyFont="1" applyFill="1" applyBorder="1" applyAlignment="1">
      <alignment horizontal="right"/>
      <protection/>
    </xf>
    <xf numFmtId="3" fontId="5" fillId="0" borderId="22" xfId="58" applyNumberFormat="1" applyFont="1" applyFill="1" applyBorder="1" applyAlignment="1">
      <alignment horizontal="right"/>
      <protection/>
    </xf>
    <xf numFmtId="3" fontId="5" fillId="0" borderId="25" xfId="58" applyNumberFormat="1" applyFont="1" applyFill="1" applyBorder="1" applyAlignment="1">
      <alignment horizontal="right"/>
      <protection/>
    </xf>
    <xf numFmtId="3" fontId="5" fillId="0" borderId="26" xfId="58" applyNumberFormat="1" applyFont="1" applyFill="1" applyBorder="1" applyAlignment="1">
      <alignment horizontal="right"/>
      <protection/>
    </xf>
    <xf numFmtId="3" fontId="5" fillId="0" borderId="27" xfId="58" applyNumberFormat="1" applyFont="1" applyFill="1" applyBorder="1" applyAlignment="1">
      <alignment horizontal="right"/>
      <protection/>
    </xf>
    <xf numFmtId="49" fontId="16" fillId="0" borderId="0" xfId="0" applyNumberFormat="1" applyFont="1" applyAlignment="1">
      <alignment/>
    </xf>
    <xf numFmtId="3" fontId="9" fillId="4" borderId="28" xfId="0" applyNumberFormat="1" applyFont="1" applyFill="1" applyBorder="1" applyAlignment="1">
      <alignment horizontal="right"/>
    </xf>
    <xf numFmtId="3" fontId="9" fillId="4" borderId="29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3" fontId="5" fillId="0" borderId="0" xfId="62" applyNumberFormat="1" applyFont="1" applyFill="1" applyBorder="1" applyAlignment="1">
      <alignment horizontal="left"/>
      <protection/>
    </xf>
    <xf numFmtId="3" fontId="9" fillId="0" borderId="0" xfId="58" applyNumberFormat="1" applyFont="1" applyFill="1" applyBorder="1" applyAlignment="1">
      <alignment horizontal="right"/>
      <protection/>
    </xf>
    <xf numFmtId="3" fontId="9" fillId="0" borderId="0" xfId="62" applyNumberFormat="1" applyFont="1" applyFill="1" applyBorder="1" applyAlignment="1">
      <alignment horizontal="left"/>
      <protection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5" fillId="0" borderId="11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3" fontId="5" fillId="0" borderId="17" xfId="0" applyNumberFormat="1" applyFont="1" applyFill="1" applyBorder="1" applyAlignment="1">
      <alignment horizontal="right"/>
    </xf>
    <xf numFmtId="3" fontId="5" fillId="0" borderId="11" xfId="56" applyNumberFormat="1" applyFont="1" applyFill="1" applyBorder="1" applyAlignment="1">
      <alignment horizontal="right"/>
      <protection/>
    </xf>
    <xf numFmtId="3" fontId="5" fillId="0" borderId="11" xfId="62" applyNumberFormat="1" applyFont="1" applyFill="1" applyBorder="1" applyAlignment="1">
      <alignment horizontal="right"/>
      <protection/>
    </xf>
    <xf numFmtId="3" fontId="5" fillId="0" borderId="10" xfId="63" applyNumberFormat="1" applyFont="1" applyFill="1" applyBorder="1" applyAlignment="1">
      <alignment horizontal="right"/>
      <protection/>
    </xf>
    <xf numFmtId="3" fontId="5" fillId="0" borderId="11" xfId="63" applyNumberFormat="1" applyFont="1" applyFill="1" applyBorder="1" applyAlignment="1">
      <alignment horizontal="right"/>
      <protection/>
    </xf>
    <xf numFmtId="3" fontId="5" fillId="0" borderId="11" xfId="61" applyNumberFormat="1" applyFont="1" applyFill="1" applyBorder="1" applyAlignment="1">
      <alignment horizontal="right"/>
      <protection/>
    </xf>
    <xf numFmtId="3" fontId="5" fillId="0" borderId="10" xfId="61" applyNumberFormat="1" applyFont="1" applyFill="1" applyBorder="1" applyAlignment="1">
      <alignment horizontal="right"/>
      <protection/>
    </xf>
    <xf numFmtId="3" fontId="5" fillId="0" borderId="20" xfId="61" applyNumberFormat="1" applyFont="1" applyFill="1" applyBorder="1" applyAlignment="1">
      <alignment horizontal="right"/>
      <protection/>
    </xf>
    <xf numFmtId="0" fontId="13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3" fontId="5" fillId="0" borderId="22" xfId="61" applyNumberFormat="1" applyFont="1" applyFill="1" applyBorder="1" applyAlignment="1">
      <alignment horizontal="right"/>
      <protection/>
    </xf>
    <xf numFmtId="3" fontId="5" fillId="0" borderId="23" xfId="61" applyNumberFormat="1" applyFont="1" applyFill="1" applyBorder="1" applyAlignment="1">
      <alignment horizontal="right"/>
      <protection/>
    </xf>
    <xf numFmtId="3" fontId="5" fillId="0" borderId="30" xfId="58" applyNumberFormat="1" applyFont="1" applyFill="1" applyBorder="1" applyAlignment="1">
      <alignment horizontal="right"/>
      <protection/>
    </xf>
    <xf numFmtId="3" fontId="9" fillId="23" borderId="31" xfId="0" applyNumberFormat="1" applyFont="1" applyFill="1" applyBorder="1" applyAlignment="1">
      <alignment horizontal="right"/>
    </xf>
    <xf numFmtId="3" fontId="8" fillId="20" borderId="32" xfId="0" applyNumberFormat="1" applyFont="1" applyFill="1" applyBorder="1" applyAlignment="1">
      <alignment horizontal="right"/>
    </xf>
    <xf numFmtId="49" fontId="8" fillId="20" borderId="33" xfId="58" applyNumberFormat="1" applyFont="1" applyFill="1" applyBorder="1" applyAlignment="1">
      <alignment horizontal="left"/>
      <protection/>
    </xf>
    <xf numFmtId="49" fontId="9" fillId="23" borderId="34" xfId="58" applyNumberFormat="1" applyFont="1" applyFill="1" applyBorder="1" applyAlignment="1">
      <alignment horizontal="left"/>
      <protection/>
    </xf>
    <xf numFmtId="49" fontId="9" fillId="4" borderId="34" xfId="58" applyNumberFormat="1" applyFont="1" applyFill="1" applyBorder="1" applyAlignment="1">
      <alignment horizontal="left"/>
      <protection/>
    </xf>
    <xf numFmtId="49" fontId="5" fillId="0" borderId="35" xfId="0" applyNumberFormat="1" applyFont="1" applyFill="1" applyBorder="1" applyAlignment="1">
      <alignment horizontal="left"/>
    </xf>
    <xf numFmtId="49" fontId="5" fillId="0" borderId="36" xfId="57" applyNumberFormat="1" applyFont="1" applyFill="1" applyBorder="1" applyAlignment="1">
      <alignment horizontal="left"/>
      <protection/>
    </xf>
    <xf numFmtId="49" fontId="5" fillId="0" borderId="36" xfId="56" applyNumberFormat="1" applyFont="1" applyBorder="1" applyAlignment="1">
      <alignment horizontal="left"/>
      <protection/>
    </xf>
    <xf numFmtId="49" fontId="5" fillId="0" borderId="36" xfId="0" applyNumberFormat="1" applyFont="1" applyFill="1" applyBorder="1" applyAlignment="1">
      <alignment horizontal="left"/>
    </xf>
    <xf numFmtId="49" fontId="5" fillId="0" borderId="37" xfId="0" applyNumberFormat="1" applyFont="1" applyFill="1" applyBorder="1" applyAlignment="1">
      <alignment horizontal="left"/>
    </xf>
    <xf numFmtId="49" fontId="9" fillId="0" borderId="36" xfId="58" applyNumberFormat="1" applyFont="1" applyFill="1" applyBorder="1" applyAlignment="1">
      <alignment horizontal="left"/>
      <protection/>
    </xf>
    <xf numFmtId="49" fontId="10" fillId="0" borderId="36" xfId="0" applyNumberFormat="1" applyFont="1" applyFill="1" applyBorder="1" applyAlignment="1">
      <alignment horizontal="left"/>
    </xf>
    <xf numFmtId="49" fontId="5" fillId="0" borderId="36" xfId="56" applyNumberFormat="1" applyFont="1" applyFill="1" applyBorder="1" applyAlignment="1">
      <alignment horizontal="left"/>
      <protection/>
    </xf>
    <xf numFmtId="49" fontId="7" fillId="0" borderId="36" xfId="0" applyNumberFormat="1" applyFont="1" applyFill="1" applyBorder="1" applyAlignment="1">
      <alignment horizontal="left"/>
    </xf>
    <xf numFmtId="49" fontId="10" fillId="0" borderId="38" xfId="0" applyNumberFormat="1" applyFont="1" applyFill="1" applyBorder="1" applyAlignment="1">
      <alignment horizontal="left"/>
    </xf>
    <xf numFmtId="3" fontId="5" fillId="0" borderId="39" xfId="0" applyNumberFormat="1" applyFont="1" applyFill="1" applyBorder="1" applyAlignment="1">
      <alignment/>
    </xf>
    <xf numFmtId="3" fontId="8" fillId="20" borderId="28" xfId="0" applyNumberFormat="1" applyFont="1" applyFill="1" applyBorder="1" applyAlignment="1">
      <alignment horizontal="right"/>
    </xf>
    <xf numFmtId="3" fontId="8" fillId="20" borderId="29" xfId="0" applyNumberFormat="1" applyFont="1" applyFill="1" applyBorder="1" applyAlignment="1">
      <alignment horizontal="right"/>
    </xf>
    <xf numFmtId="3" fontId="8" fillId="20" borderId="40" xfId="0" applyNumberFormat="1" applyFont="1" applyFill="1" applyBorder="1" applyAlignment="1">
      <alignment horizontal="right"/>
    </xf>
    <xf numFmtId="49" fontId="8" fillId="20" borderId="41" xfId="58" applyNumberFormat="1" applyFont="1" applyFill="1" applyBorder="1" applyAlignment="1">
      <alignment horizontal="left"/>
      <protection/>
    </xf>
    <xf numFmtId="49" fontId="9" fillId="23" borderId="42" xfId="58" applyNumberFormat="1" applyFont="1" applyFill="1" applyBorder="1" applyAlignment="1">
      <alignment horizontal="left"/>
      <protection/>
    </xf>
    <xf numFmtId="49" fontId="9" fillId="4" borderId="42" xfId="58" applyNumberFormat="1" applyFont="1" applyFill="1" applyBorder="1" applyAlignment="1">
      <alignment horizontal="left"/>
      <protection/>
    </xf>
    <xf numFmtId="49" fontId="5" fillId="0" borderId="43" xfId="0" applyNumberFormat="1" applyFont="1" applyFill="1" applyBorder="1" applyAlignment="1">
      <alignment horizontal="left"/>
    </xf>
    <xf numFmtId="49" fontId="5" fillId="0" borderId="44" xfId="57" applyNumberFormat="1" applyFont="1" applyFill="1" applyBorder="1" applyAlignment="1">
      <alignment horizontal="left"/>
      <protection/>
    </xf>
    <xf numFmtId="49" fontId="5" fillId="0" borderId="44" xfId="56" applyNumberFormat="1" applyFont="1" applyFill="1" applyBorder="1" applyAlignment="1">
      <alignment horizontal="left"/>
      <protection/>
    </xf>
    <xf numFmtId="49" fontId="5" fillId="0" borderId="44" xfId="0" applyNumberFormat="1" applyFont="1" applyFill="1" applyBorder="1" applyAlignment="1">
      <alignment horizontal="left"/>
    </xf>
    <xf numFmtId="49" fontId="6" fillId="0" borderId="44" xfId="0" applyNumberFormat="1" applyFont="1" applyFill="1" applyBorder="1" applyAlignment="1">
      <alignment horizontal="left"/>
    </xf>
    <xf numFmtId="49" fontId="5" fillId="0" borderId="41" xfId="56" applyNumberFormat="1" applyFont="1" applyFill="1" applyBorder="1" applyAlignment="1">
      <alignment horizontal="left"/>
      <protection/>
    </xf>
    <xf numFmtId="49" fontId="9" fillId="0" borderId="43" xfId="58" applyNumberFormat="1" applyFont="1" applyFill="1" applyBorder="1" applyAlignment="1">
      <alignment horizontal="left"/>
      <protection/>
    </xf>
    <xf numFmtId="49" fontId="9" fillId="0" borderId="44" xfId="58" applyNumberFormat="1" applyFont="1" applyFill="1" applyBorder="1" applyAlignment="1">
      <alignment horizontal="left"/>
      <protection/>
    </xf>
    <xf numFmtId="49" fontId="5" fillId="0" borderId="44" xfId="58" applyNumberFormat="1" applyFont="1" applyFill="1" applyBorder="1" applyAlignment="1">
      <alignment horizontal="left"/>
      <protection/>
    </xf>
    <xf numFmtId="49" fontId="5" fillId="0" borderId="43" xfId="56" applyNumberFormat="1" applyFont="1" applyFill="1" applyBorder="1" applyAlignment="1">
      <alignment horizontal="left"/>
      <protection/>
    </xf>
    <xf numFmtId="49" fontId="5" fillId="0" borderId="45" xfId="56" applyNumberFormat="1" applyFont="1" applyFill="1" applyBorder="1" applyAlignment="1">
      <alignment horizontal="left"/>
      <protection/>
    </xf>
    <xf numFmtId="49" fontId="5" fillId="0" borderId="46" xfId="56" applyNumberFormat="1" applyFont="1" applyFill="1" applyBorder="1" applyAlignment="1">
      <alignment horizontal="left"/>
      <protection/>
    </xf>
    <xf numFmtId="3" fontId="5" fillId="0" borderId="47" xfId="58" applyNumberFormat="1" applyFont="1" applyFill="1" applyBorder="1" applyAlignment="1">
      <alignment horizontal="left"/>
      <protection/>
    </xf>
    <xf numFmtId="3" fontId="5" fillId="0" borderId="48" xfId="0" applyNumberFormat="1" applyFon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49" fontId="8" fillId="20" borderId="50" xfId="58" applyNumberFormat="1" applyFont="1" applyFill="1" applyBorder="1" applyAlignment="1">
      <alignment horizontal="left"/>
      <protection/>
    </xf>
    <xf numFmtId="49" fontId="5" fillId="0" borderId="51" xfId="63" applyNumberFormat="1" applyFont="1" applyFill="1" applyBorder="1" applyAlignment="1">
      <alignment horizontal="left"/>
      <protection/>
    </xf>
    <xf numFmtId="49" fontId="5" fillId="0" borderId="52" xfId="0" applyNumberFormat="1" applyFont="1" applyFill="1" applyBorder="1" applyAlignment="1">
      <alignment horizontal="left"/>
    </xf>
    <xf numFmtId="49" fontId="5" fillId="0" borderId="44" xfId="63" applyNumberFormat="1" applyFont="1" applyFill="1" applyBorder="1" applyAlignment="1">
      <alignment horizontal="left"/>
      <protection/>
    </xf>
    <xf numFmtId="49" fontId="5" fillId="0" borderId="53" xfId="0" applyNumberFormat="1" applyFont="1" applyFill="1" applyBorder="1" applyAlignment="1">
      <alignment horizontal="left"/>
    </xf>
    <xf numFmtId="49" fontId="5" fillId="0" borderId="54" xfId="0" applyNumberFormat="1" applyFont="1" applyFill="1" applyBorder="1" applyAlignment="1">
      <alignment horizontal="left"/>
    </xf>
    <xf numFmtId="49" fontId="5" fillId="0" borderId="46" xfId="0" applyNumberFormat="1" applyFont="1" applyFill="1" applyBorder="1" applyAlignment="1">
      <alignment horizontal="left"/>
    </xf>
    <xf numFmtId="49" fontId="5" fillId="0" borderId="43" xfId="58" applyNumberFormat="1" applyFont="1" applyFill="1" applyBorder="1" applyAlignment="1">
      <alignment horizontal="left"/>
      <protection/>
    </xf>
    <xf numFmtId="49" fontId="5" fillId="0" borderId="44" xfId="0" applyNumberFormat="1" applyFont="1" applyFill="1" applyBorder="1" applyAlignment="1">
      <alignment/>
    </xf>
    <xf numFmtId="49" fontId="9" fillId="4" borderId="55" xfId="58" applyNumberFormat="1" applyFont="1" applyFill="1" applyBorder="1" applyAlignment="1">
      <alignment horizontal="left"/>
      <protection/>
    </xf>
    <xf numFmtId="49" fontId="5" fillId="0" borderId="56" xfId="56" applyNumberFormat="1" applyFont="1" applyFill="1" applyBorder="1" applyAlignment="1">
      <alignment horizontal="left"/>
      <protection/>
    </xf>
    <xf numFmtId="3" fontId="5" fillId="0" borderId="57" xfId="0" applyNumberFormat="1" applyFont="1" applyFill="1" applyBorder="1" applyAlignment="1">
      <alignment/>
    </xf>
    <xf numFmtId="49" fontId="5" fillId="0" borderId="58" xfId="56" applyNumberFormat="1" applyFont="1" applyFill="1" applyBorder="1" applyAlignment="1">
      <alignment horizontal="left"/>
      <protection/>
    </xf>
    <xf numFmtId="3" fontId="5" fillId="0" borderId="59" xfId="0" applyNumberFormat="1" applyFont="1" applyFill="1" applyBorder="1" applyAlignment="1">
      <alignment/>
    </xf>
    <xf numFmtId="49" fontId="5" fillId="0" borderId="53" xfId="57" applyNumberFormat="1" applyFont="1" applyFill="1" applyBorder="1" applyAlignment="1">
      <alignment horizontal="left"/>
      <protection/>
    </xf>
    <xf numFmtId="49" fontId="5" fillId="0" borderId="44" xfId="56" applyNumberFormat="1" applyFont="1" applyBorder="1" applyAlignment="1">
      <alignment horizontal="left"/>
      <protection/>
    </xf>
    <xf numFmtId="49" fontId="5" fillId="0" borderId="51" xfId="56" applyNumberFormat="1" applyFont="1" applyBorder="1" applyAlignment="1">
      <alignment horizontal="left"/>
      <protection/>
    </xf>
    <xf numFmtId="49" fontId="5" fillId="0" borderId="52" xfId="56" applyNumberFormat="1" applyFont="1" applyBorder="1" applyAlignment="1">
      <alignment horizontal="left"/>
      <protection/>
    </xf>
    <xf numFmtId="49" fontId="5" fillId="0" borderId="41" xfId="58" applyNumberFormat="1" applyFont="1" applyFill="1" applyBorder="1" applyAlignment="1">
      <alignment horizontal="left"/>
      <protection/>
    </xf>
    <xf numFmtId="49" fontId="5" fillId="0" borderId="53" xfId="58" applyNumberFormat="1" applyFont="1" applyFill="1" applyBorder="1" applyAlignment="1">
      <alignment horizontal="left"/>
      <protection/>
    </xf>
    <xf numFmtId="49" fontId="5" fillId="0" borderId="45" xfId="58" applyNumberFormat="1" applyFont="1" applyFill="1" applyBorder="1" applyAlignment="1">
      <alignment horizontal="left"/>
      <protection/>
    </xf>
    <xf numFmtId="49" fontId="5" fillId="0" borderId="52" xfId="58" applyNumberFormat="1" applyFont="1" applyFill="1" applyBorder="1" applyAlignment="1">
      <alignment horizontal="left"/>
      <protection/>
    </xf>
    <xf numFmtId="49" fontId="5" fillId="0" borderId="44" xfId="0" applyNumberFormat="1" applyFont="1" applyBorder="1" applyAlignment="1">
      <alignment/>
    </xf>
    <xf numFmtId="49" fontId="5" fillId="0" borderId="43" xfId="56" applyNumberFormat="1" applyFont="1" applyBorder="1" applyAlignment="1">
      <alignment horizontal="left"/>
      <protection/>
    </xf>
    <xf numFmtId="49" fontId="5" fillId="0" borderId="51" xfId="0" applyNumberFormat="1" applyFont="1" applyFill="1" applyBorder="1" applyAlignment="1">
      <alignment horizontal="left"/>
    </xf>
    <xf numFmtId="49" fontId="8" fillId="20" borderId="55" xfId="58" applyNumberFormat="1" applyFont="1" applyFill="1" applyBorder="1" applyAlignment="1">
      <alignment horizontal="left"/>
      <protection/>
    </xf>
    <xf numFmtId="49" fontId="5" fillId="0" borderId="45" xfId="0" applyNumberFormat="1" applyFont="1" applyFill="1" applyBorder="1" applyAlignment="1">
      <alignment/>
    </xf>
    <xf numFmtId="49" fontId="10" fillId="0" borderId="44" xfId="58" applyNumberFormat="1" applyFont="1" applyFill="1" applyBorder="1" applyAlignment="1">
      <alignment horizontal="left"/>
      <protection/>
    </xf>
    <xf numFmtId="49" fontId="10" fillId="0" borderId="45" xfId="58" applyNumberFormat="1" applyFont="1" applyFill="1" applyBorder="1" applyAlignment="1">
      <alignment horizontal="left"/>
      <protection/>
    </xf>
    <xf numFmtId="49" fontId="10" fillId="0" borderId="51" xfId="58" applyNumberFormat="1" applyFont="1" applyFill="1" applyBorder="1" applyAlignment="1">
      <alignment horizontal="left"/>
      <protection/>
    </xf>
    <xf numFmtId="49" fontId="5" fillId="0" borderId="45" xfId="0" applyNumberFormat="1" applyFont="1" applyFill="1" applyBorder="1" applyAlignment="1">
      <alignment horizontal="left"/>
    </xf>
    <xf numFmtId="49" fontId="10" fillId="0" borderId="44" xfId="0" applyNumberFormat="1" applyFont="1" applyFill="1" applyBorder="1" applyAlignment="1">
      <alignment horizontal="left"/>
    </xf>
    <xf numFmtId="49" fontId="7" fillId="0" borderId="44" xfId="0" applyNumberFormat="1" applyFont="1" applyFill="1" applyBorder="1" applyAlignment="1">
      <alignment horizontal="left"/>
    </xf>
    <xf numFmtId="49" fontId="5" fillId="0" borderId="52" xfId="57" applyNumberFormat="1" applyFont="1" applyFill="1" applyBorder="1" applyAlignment="1">
      <alignment horizontal="left"/>
      <protection/>
    </xf>
    <xf numFmtId="49" fontId="5" fillId="0" borderId="60" xfId="58" applyNumberFormat="1" applyFont="1" applyFill="1" applyBorder="1" applyAlignment="1">
      <alignment horizontal="left"/>
      <protection/>
    </xf>
    <xf numFmtId="0" fontId="5" fillId="0" borderId="49" xfId="0" applyFont="1" applyFill="1" applyBorder="1" applyAlignment="1">
      <alignment/>
    </xf>
    <xf numFmtId="0" fontId="8" fillId="20" borderId="41" xfId="58" applyFont="1" applyFill="1" applyBorder="1" applyAlignment="1">
      <alignment horizontal="left"/>
      <protection/>
    </xf>
    <xf numFmtId="14" fontId="9" fillId="4" borderId="42" xfId="58" applyNumberFormat="1" applyFont="1" applyFill="1" applyBorder="1" applyAlignment="1">
      <alignment horizontal="left"/>
      <protection/>
    </xf>
    <xf numFmtId="49" fontId="5" fillId="0" borderId="43" xfId="0" applyNumberFormat="1" applyFont="1" applyFill="1" applyBorder="1" applyAlignment="1">
      <alignment/>
    </xf>
    <xf numFmtId="49" fontId="5" fillId="0" borderId="41" xfId="0" applyNumberFormat="1" applyFont="1" applyFill="1" applyBorder="1" applyAlignment="1">
      <alignment/>
    </xf>
    <xf numFmtId="49" fontId="5" fillId="0" borderId="44" xfId="0" applyNumberFormat="1" applyFont="1" applyFill="1" applyBorder="1" applyAlignment="1">
      <alignment/>
    </xf>
    <xf numFmtId="49" fontId="11" fillId="0" borderId="44" xfId="0" applyNumberFormat="1" applyFont="1" applyFill="1" applyBorder="1" applyAlignment="1">
      <alignment/>
    </xf>
    <xf numFmtId="49" fontId="5" fillId="0" borderId="46" xfId="0" applyNumberFormat="1" applyFont="1" applyFill="1" applyBorder="1" applyAlignment="1">
      <alignment/>
    </xf>
    <xf numFmtId="49" fontId="5" fillId="0" borderId="61" xfId="56" applyNumberFormat="1" applyFont="1" applyFill="1" applyBorder="1" applyAlignment="1">
      <alignment horizontal="left"/>
      <protection/>
    </xf>
    <xf numFmtId="49" fontId="7" fillId="0" borderId="44" xfId="57" applyNumberFormat="1" applyFont="1" applyFill="1" applyBorder="1" applyAlignment="1">
      <alignment horizontal="left"/>
      <protection/>
    </xf>
    <xf numFmtId="49" fontId="5" fillId="0" borderId="45" xfId="57" applyNumberFormat="1" applyFont="1" applyFill="1" applyBorder="1" applyAlignment="1">
      <alignment horizontal="left"/>
      <protection/>
    </xf>
    <xf numFmtId="49" fontId="9" fillId="0" borderId="44" xfId="57" applyNumberFormat="1" applyFont="1" applyFill="1" applyBorder="1" applyAlignment="1">
      <alignment horizontal="left"/>
      <protection/>
    </xf>
    <xf numFmtId="49" fontId="9" fillId="0" borderId="44" xfId="56" applyNumberFormat="1" applyFont="1" applyFill="1" applyBorder="1" applyAlignment="1">
      <alignment horizontal="left"/>
      <protection/>
    </xf>
    <xf numFmtId="49" fontId="5" fillId="0" borderId="44" xfId="58" applyNumberFormat="1" applyFont="1" applyFill="1" applyBorder="1" applyAlignment="1">
      <alignment horizontal="right"/>
      <protection/>
    </xf>
    <xf numFmtId="49" fontId="7" fillId="0" borderId="44" xfId="0" applyNumberFormat="1" applyFont="1" applyFill="1" applyBorder="1" applyAlignment="1">
      <alignment/>
    </xf>
    <xf numFmtId="0" fontId="5" fillId="0" borderId="43" xfId="57" applyFont="1" applyFill="1" applyBorder="1" applyAlignment="1">
      <alignment horizontal="left"/>
      <protection/>
    </xf>
    <xf numFmtId="0" fontId="5" fillId="0" borderId="44" xfId="56" applyFont="1" applyFill="1" applyBorder="1" applyAlignment="1">
      <alignment horizontal="left"/>
      <protection/>
    </xf>
    <xf numFmtId="0" fontId="9" fillId="0" borderId="44" xfId="58" applyFont="1" applyFill="1" applyBorder="1" applyAlignment="1">
      <alignment horizontal="left"/>
      <protection/>
    </xf>
    <xf numFmtId="0" fontId="5" fillId="0" borderId="46" xfId="56" applyFont="1" applyFill="1" applyBorder="1" applyAlignment="1">
      <alignment horizontal="left"/>
      <protection/>
    </xf>
    <xf numFmtId="49" fontId="8" fillId="20" borderId="62" xfId="58" applyNumberFormat="1" applyFont="1" applyFill="1" applyBorder="1" applyAlignment="1">
      <alignment horizontal="left"/>
      <protection/>
    </xf>
    <xf numFmtId="49" fontId="9" fillId="23" borderId="55" xfId="58" applyNumberFormat="1" applyFont="1" applyFill="1" applyBorder="1" applyAlignment="1">
      <alignment horizontal="left"/>
      <protection/>
    </xf>
    <xf numFmtId="49" fontId="5" fillId="0" borderId="63" xfId="0" applyNumberFormat="1" applyFont="1" applyFill="1" applyBorder="1" applyAlignment="1">
      <alignment horizontal="left"/>
    </xf>
    <xf numFmtId="3" fontId="5" fillId="0" borderId="64" xfId="0" applyNumberFormat="1" applyFont="1" applyFill="1" applyBorder="1" applyAlignment="1">
      <alignment/>
    </xf>
    <xf numFmtId="49" fontId="5" fillId="0" borderId="58" xfId="63" applyNumberFormat="1" applyFont="1" applyFill="1" applyBorder="1" applyAlignment="1">
      <alignment horizontal="left"/>
      <protection/>
    </xf>
    <xf numFmtId="49" fontId="5" fillId="0" borderId="65" xfId="0" applyNumberFormat="1" applyFont="1" applyFill="1" applyBorder="1" applyAlignment="1">
      <alignment horizontal="left"/>
    </xf>
    <xf numFmtId="49" fontId="5" fillId="0" borderId="62" xfId="63" applyNumberFormat="1" applyFont="1" applyFill="1" applyBorder="1" applyAlignment="1">
      <alignment horizontal="left"/>
      <protection/>
    </xf>
    <xf numFmtId="49" fontId="10" fillId="0" borderId="58" xfId="0" applyNumberFormat="1" applyFont="1" applyFill="1" applyBorder="1" applyAlignment="1">
      <alignment horizontal="left"/>
    </xf>
    <xf numFmtId="49" fontId="5" fillId="0" borderId="58" xfId="0" applyNumberFormat="1" applyFont="1" applyFill="1" applyBorder="1" applyAlignment="1">
      <alignment/>
    </xf>
    <xf numFmtId="3" fontId="5" fillId="0" borderId="57" xfId="58" applyNumberFormat="1" applyFont="1" applyFill="1" applyBorder="1" applyAlignment="1">
      <alignment horizontal="right"/>
      <protection/>
    </xf>
    <xf numFmtId="49" fontId="5" fillId="0" borderId="58" xfId="0" applyNumberFormat="1" applyFont="1" applyFill="1" applyBorder="1" applyAlignment="1">
      <alignment horizontal="left"/>
    </xf>
    <xf numFmtId="49" fontId="5" fillId="0" borderId="61" xfId="0" applyNumberFormat="1" applyFont="1" applyFill="1" applyBorder="1" applyAlignment="1">
      <alignment/>
    </xf>
    <xf numFmtId="49" fontId="5" fillId="0" borderId="66" xfId="57" applyNumberFormat="1" applyFont="1" applyFill="1" applyBorder="1" applyAlignment="1">
      <alignment horizontal="left"/>
      <protection/>
    </xf>
    <xf numFmtId="3" fontId="5" fillId="0" borderId="57" xfId="62" applyNumberFormat="1" applyFont="1" applyFill="1" applyBorder="1" applyAlignment="1">
      <alignment horizontal="right"/>
      <protection/>
    </xf>
    <xf numFmtId="49" fontId="5" fillId="0" borderId="58" xfId="58" applyNumberFormat="1" applyFont="1" applyFill="1" applyBorder="1" applyAlignment="1">
      <alignment horizontal="left"/>
      <protection/>
    </xf>
    <xf numFmtId="49" fontId="5" fillId="0" borderId="67" xfId="56" applyNumberFormat="1" applyFont="1" applyFill="1" applyBorder="1" applyAlignment="1">
      <alignment horizontal="left"/>
      <protection/>
    </xf>
    <xf numFmtId="49" fontId="5" fillId="0" borderId="66" xfId="0" applyNumberFormat="1" applyFont="1" applyFill="1" applyBorder="1" applyAlignment="1">
      <alignment horizontal="left"/>
    </xf>
    <xf numFmtId="49" fontId="5" fillId="0" borderId="62" xfId="0" applyNumberFormat="1" applyFont="1" applyFill="1" applyBorder="1" applyAlignment="1">
      <alignment horizontal="left"/>
    </xf>
    <xf numFmtId="49" fontId="5" fillId="0" borderId="66" xfId="56" applyNumberFormat="1" applyFont="1" applyFill="1" applyBorder="1" applyAlignment="1">
      <alignment horizontal="left"/>
      <protection/>
    </xf>
    <xf numFmtId="49" fontId="9" fillId="0" borderId="66" xfId="59" applyNumberFormat="1" applyFont="1" applyFill="1" applyBorder="1" applyAlignment="1">
      <alignment/>
      <protection/>
    </xf>
    <xf numFmtId="49" fontId="9" fillId="0" borderId="58" xfId="0" applyNumberFormat="1" applyFont="1" applyFill="1" applyBorder="1" applyAlignment="1">
      <alignment horizontal="left"/>
    </xf>
    <xf numFmtId="49" fontId="5" fillId="0" borderId="66" xfId="0" applyNumberFormat="1" applyFont="1" applyFill="1" applyBorder="1" applyAlignment="1">
      <alignment/>
    </xf>
    <xf numFmtId="3" fontId="5" fillId="0" borderId="59" xfId="0" applyNumberFormat="1" applyFont="1" applyFill="1" applyBorder="1" applyAlignment="1">
      <alignment horizontal="right" wrapText="1"/>
    </xf>
    <xf numFmtId="3" fontId="5" fillId="0" borderId="59" xfId="0" applyNumberFormat="1" applyFont="1" applyFill="1" applyBorder="1" applyAlignment="1">
      <alignment horizontal="right"/>
    </xf>
    <xf numFmtId="3" fontId="5" fillId="0" borderId="68" xfId="0" applyNumberFormat="1" applyFont="1" applyFill="1" applyBorder="1" applyAlignment="1">
      <alignment horizontal="right" wrapText="1"/>
    </xf>
    <xf numFmtId="3" fontId="5" fillId="0" borderId="57" xfId="0" applyNumberFormat="1" applyFont="1" applyFill="1" applyBorder="1" applyAlignment="1">
      <alignment/>
    </xf>
    <xf numFmtId="49" fontId="5" fillId="0" borderId="66" xfId="56" applyNumberFormat="1" applyFont="1" applyFill="1" applyBorder="1" applyAlignment="1">
      <alignment/>
      <protection/>
    </xf>
    <xf numFmtId="49" fontId="5" fillId="0" borderId="58" xfId="56" applyNumberFormat="1" applyFont="1" applyFill="1" applyBorder="1" applyAlignment="1">
      <alignment/>
      <protection/>
    </xf>
    <xf numFmtId="49" fontId="5" fillId="0" borderId="58" xfId="57" applyNumberFormat="1" applyFont="1" applyFill="1" applyBorder="1" applyAlignment="1">
      <alignment horizontal="left"/>
      <protection/>
    </xf>
    <xf numFmtId="49" fontId="7" fillId="0" borderId="67" xfId="0" applyNumberFormat="1" applyFont="1" applyFill="1" applyBorder="1" applyAlignment="1">
      <alignment horizontal="left"/>
    </xf>
    <xf numFmtId="49" fontId="5" fillId="0" borderId="56" xfId="0" applyNumberFormat="1" applyFont="1" applyFill="1" applyBorder="1" applyAlignment="1">
      <alignment horizontal="left"/>
    </xf>
    <xf numFmtId="3" fontId="5" fillId="0" borderId="69" xfId="0" applyNumberFormat="1" applyFont="1" applyFill="1" applyBorder="1" applyAlignment="1">
      <alignment/>
    </xf>
    <xf numFmtId="49" fontId="10" fillId="0" borderId="56" xfId="57" applyNumberFormat="1" applyFont="1" applyFill="1" applyBorder="1" applyAlignment="1">
      <alignment horizontal="left"/>
      <protection/>
    </xf>
    <xf numFmtId="3" fontId="5" fillId="0" borderId="70" xfId="0" applyNumberFormat="1" applyFont="1" applyFill="1" applyBorder="1" applyAlignment="1">
      <alignment/>
    </xf>
    <xf numFmtId="3" fontId="5" fillId="0" borderId="59" xfId="0" applyNumberFormat="1" applyFont="1" applyFill="1" applyBorder="1" applyAlignment="1">
      <alignment/>
    </xf>
    <xf numFmtId="49" fontId="5" fillId="0" borderId="71" xfId="0" applyNumberFormat="1" applyFont="1" applyFill="1" applyBorder="1" applyAlignment="1">
      <alignment horizontal="left"/>
    </xf>
    <xf numFmtId="3" fontId="5" fillId="0" borderId="59" xfId="56" applyNumberFormat="1" applyFont="1" applyFill="1" applyBorder="1" applyAlignment="1">
      <alignment/>
      <protection/>
    </xf>
    <xf numFmtId="49" fontId="5" fillId="0" borderId="58" xfId="0" applyNumberFormat="1" applyFont="1" applyFill="1" applyBorder="1" applyAlignment="1">
      <alignment/>
    </xf>
    <xf numFmtId="49" fontId="5" fillId="0" borderId="62" xfId="0" applyNumberFormat="1" applyFont="1" applyFill="1" applyBorder="1" applyAlignment="1">
      <alignment/>
    </xf>
    <xf numFmtId="49" fontId="5" fillId="0" borderId="61" xfId="0" applyNumberFormat="1" applyFont="1" applyFill="1" applyBorder="1" applyAlignment="1">
      <alignment/>
    </xf>
    <xf numFmtId="0" fontId="5" fillId="0" borderId="72" xfId="0" applyFont="1" applyFill="1" applyBorder="1" applyAlignment="1">
      <alignment/>
    </xf>
    <xf numFmtId="49" fontId="9" fillId="23" borderId="73" xfId="0" applyNumberFormat="1" applyFont="1" applyFill="1" applyBorder="1" applyAlignment="1">
      <alignment horizontal="left"/>
    </xf>
    <xf numFmtId="49" fontId="5" fillId="0" borderId="67" xfId="0" applyNumberFormat="1" applyFont="1" applyFill="1" applyBorder="1" applyAlignment="1">
      <alignment/>
    </xf>
    <xf numFmtId="49" fontId="9" fillId="0" borderId="58" xfId="58" applyNumberFormat="1" applyFont="1" applyFill="1" applyBorder="1" applyAlignment="1">
      <alignment horizontal="left"/>
      <protection/>
    </xf>
    <xf numFmtId="49" fontId="5" fillId="0" borderId="67" xfId="58" applyNumberFormat="1" applyFont="1" applyFill="1" applyBorder="1" applyAlignment="1">
      <alignment horizontal="left"/>
      <protection/>
    </xf>
    <xf numFmtId="3" fontId="5" fillId="0" borderId="57" xfId="56" applyNumberFormat="1" applyFont="1" applyFill="1" applyBorder="1">
      <alignment/>
      <protection/>
    </xf>
    <xf numFmtId="49" fontId="5" fillId="0" borderId="62" xfId="56" applyNumberFormat="1" applyFont="1" applyFill="1" applyBorder="1" applyAlignment="1">
      <alignment horizontal="left"/>
      <protection/>
    </xf>
    <xf numFmtId="49" fontId="5" fillId="0" borderId="65" xfId="0" applyNumberFormat="1" applyFont="1" applyFill="1" applyBorder="1" applyAlignment="1">
      <alignment/>
    </xf>
    <xf numFmtId="49" fontId="5" fillId="0" borderId="66" xfId="0" applyNumberFormat="1" applyFont="1" applyFill="1" applyBorder="1" applyAlignment="1">
      <alignment/>
    </xf>
    <xf numFmtId="14" fontId="9" fillId="4" borderId="55" xfId="58" applyNumberFormat="1" applyFont="1" applyFill="1" applyBorder="1" applyAlignment="1">
      <alignment horizontal="left"/>
      <protection/>
    </xf>
    <xf numFmtId="0" fontId="5" fillId="0" borderId="55" xfId="56" applyFont="1" applyFill="1" applyBorder="1" applyAlignment="1">
      <alignment horizontal="left"/>
      <protection/>
    </xf>
    <xf numFmtId="49" fontId="7" fillId="0" borderId="74" xfId="0" applyNumberFormat="1" applyFont="1" applyFill="1" applyBorder="1" applyAlignment="1">
      <alignment horizontal="left"/>
    </xf>
    <xf numFmtId="3" fontId="5" fillId="0" borderId="75" xfId="0" applyNumberFormat="1" applyFont="1" applyFill="1" applyBorder="1" applyAlignment="1">
      <alignment/>
    </xf>
    <xf numFmtId="0" fontId="8" fillId="20" borderId="62" xfId="58" applyFont="1" applyFill="1" applyBorder="1" applyAlignment="1">
      <alignment horizontal="left"/>
      <protection/>
    </xf>
    <xf numFmtId="49" fontId="7" fillId="0" borderId="51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/>
    </xf>
    <xf numFmtId="3" fontId="5" fillId="0" borderId="76" xfId="0" applyNumberFormat="1" applyFont="1" applyFill="1" applyBorder="1" applyAlignment="1">
      <alignment horizontal="center" vertical="center" wrapText="1"/>
    </xf>
    <xf numFmtId="3" fontId="5" fillId="0" borderId="77" xfId="0" applyNumberFormat="1" applyFont="1" applyFill="1" applyBorder="1" applyAlignment="1">
      <alignment horizontal="center" vertical="center" wrapText="1"/>
    </xf>
    <xf numFmtId="3" fontId="5" fillId="0" borderId="78" xfId="0" applyNumberFormat="1" applyFont="1" applyFill="1" applyBorder="1" applyAlignment="1">
      <alignment horizontal="center" vertical="center" wrapText="1"/>
    </xf>
    <xf numFmtId="3" fontId="5" fillId="0" borderId="79" xfId="0" applyNumberFormat="1" applyFont="1" applyFill="1" applyBorder="1" applyAlignment="1">
      <alignment horizontal="center" vertical="center" wrapText="1"/>
    </xf>
    <xf numFmtId="3" fontId="8" fillId="20" borderId="80" xfId="0" applyNumberFormat="1" applyFont="1" applyFill="1" applyBorder="1" applyAlignment="1">
      <alignment horizontal="right"/>
    </xf>
    <xf numFmtId="3" fontId="8" fillId="20" borderId="81" xfId="0" applyNumberFormat="1" applyFont="1" applyFill="1" applyBorder="1" applyAlignment="1">
      <alignment horizontal="right"/>
    </xf>
    <xf numFmtId="3" fontId="9" fillId="23" borderId="82" xfId="0" applyNumberFormat="1" applyFont="1" applyFill="1" applyBorder="1" applyAlignment="1">
      <alignment horizontal="right"/>
    </xf>
    <xf numFmtId="3" fontId="9" fillId="4" borderId="83" xfId="0" applyNumberFormat="1" applyFont="1" applyFill="1" applyBorder="1" applyAlignment="1">
      <alignment horizontal="right"/>
    </xf>
    <xf numFmtId="3" fontId="9" fillId="4" borderId="82" xfId="0" applyNumberFormat="1" applyFont="1" applyFill="1" applyBorder="1" applyAlignment="1">
      <alignment horizontal="right"/>
    </xf>
    <xf numFmtId="3" fontId="5" fillId="0" borderId="84" xfId="0" applyNumberFormat="1" applyFont="1" applyFill="1" applyBorder="1" applyAlignment="1">
      <alignment/>
    </xf>
    <xf numFmtId="3" fontId="5" fillId="0" borderId="85" xfId="0" applyNumberFormat="1" applyFont="1" applyFill="1" applyBorder="1" applyAlignment="1">
      <alignment/>
    </xf>
    <xf numFmtId="3" fontId="5" fillId="0" borderId="86" xfId="0" applyNumberFormat="1" applyFont="1" applyFill="1" applyBorder="1" applyAlignment="1">
      <alignment/>
    </xf>
    <xf numFmtId="3" fontId="6" fillId="0" borderId="86" xfId="0" applyNumberFormat="1" applyFont="1" applyFill="1" applyBorder="1" applyAlignment="1">
      <alignment/>
    </xf>
    <xf numFmtId="3" fontId="5" fillId="0" borderId="86" xfId="0" applyNumberFormat="1" applyFont="1" applyFill="1" applyBorder="1" applyAlignment="1">
      <alignment horizontal="right"/>
    </xf>
    <xf numFmtId="3" fontId="5" fillId="0" borderId="87" xfId="0" applyNumberFormat="1" applyFont="1" applyFill="1" applyBorder="1" applyAlignment="1">
      <alignment/>
    </xf>
    <xf numFmtId="3" fontId="5" fillId="0" borderId="88" xfId="0" applyNumberFormat="1" applyFont="1" applyFill="1" applyBorder="1" applyAlignment="1">
      <alignment/>
    </xf>
    <xf numFmtId="3" fontId="9" fillId="23" borderId="89" xfId="0" applyNumberFormat="1" applyFont="1" applyFill="1" applyBorder="1" applyAlignment="1">
      <alignment horizontal="right"/>
    </xf>
    <xf numFmtId="3" fontId="9" fillId="4" borderId="89" xfId="0" applyNumberFormat="1" applyFont="1" applyFill="1" applyBorder="1" applyAlignment="1">
      <alignment horizontal="right"/>
    </xf>
    <xf numFmtId="3" fontId="5" fillId="0" borderId="84" xfId="56" applyNumberFormat="1" applyFont="1" applyFill="1" applyBorder="1">
      <alignment/>
      <protection/>
    </xf>
    <xf numFmtId="3" fontId="5" fillId="0" borderId="86" xfId="56" applyNumberFormat="1" applyFont="1" applyFill="1" applyBorder="1">
      <alignment/>
      <protection/>
    </xf>
    <xf numFmtId="3" fontId="5" fillId="0" borderId="90" xfId="0" applyNumberFormat="1" applyFont="1" applyFill="1" applyBorder="1" applyAlignment="1">
      <alignment/>
    </xf>
    <xf numFmtId="3" fontId="5" fillId="0" borderId="91" xfId="0" applyNumberFormat="1" applyFont="1" applyFill="1" applyBorder="1" applyAlignment="1">
      <alignment/>
    </xf>
    <xf numFmtId="3" fontId="5" fillId="0" borderId="92" xfId="0" applyNumberFormat="1" applyFont="1" applyFill="1" applyBorder="1" applyAlignment="1">
      <alignment/>
    </xf>
    <xf numFmtId="3" fontId="9" fillId="0" borderId="93" xfId="0" applyNumberFormat="1" applyFont="1" applyFill="1" applyBorder="1" applyAlignment="1">
      <alignment horizontal="center" vertical="center" wrapText="1"/>
    </xf>
    <xf numFmtId="3" fontId="5" fillId="0" borderId="9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3" xfId="58" applyNumberFormat="1" applyFont="1" applyFill="1" applyBorder="1" applyAlignment="1">
      <alignment/>
      <protection/>
    </xf>
    <xf numFmtId="3" fontId="5" fillId="0" borderId="11" xfId="58" applyNumberFormat="1" applyFont="1" applyFill="1" applyBorder="1" applyAlignment="1">
      <alignment/>
      <protection/>
    </xf>
    <xf numFmtId="3" fontId="9" fillId="4" borderId="15" xfId="0" applyNumberFormat="1" applyFont="1" applyFill="1" applyBorder="1" applyAlignment="1">
      <alignment/>
    </xf>
    <xf numFmtId="3" fontId="5" fillId="0" borderId="90" xfId="57" applyNumberFormat="1" applyFont="1" applyFill="1" applyBorder="1" applyAlignment="1">
      <alignment horizontal="right"/>
      <protection/>
    </xf>
    <xf numFmtId="3" fontId="5" fillId="0" borderId="86" xfId="0" applyNumberFormat="1" applyFont="1" applyFill="1" applyBorder="1" applyAlignment="1">
      <alignment/>
    </xf>
    <xf numFmtId="0" fontId="5" fillId="0" borderId="86" xfId="0" applyFont="1" applyFill="1" applyBorder="1" applyAlignment="1">
      <alignment/>
    </xf>
    <xf numFmtId="3" fontId="5" fillId="0" borderId="95" xfId="0" applyNumberFormat="1" applyFont="1" applyFill="1" applyBorder="1" applyAlignment="1">
      <alignment/>
    </xf>
    <xf numFmtId="3" fontId="5" fillId="0" borderId="72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10" xfId="56" applyNumberFormat="1" applyFont="1" applyFill="1" applyBorder="1" applyAlignment="1">
      <alignment horizontal="right"/>
      <protection/>
    </xf>
    <xf numFmtId="3" fontId="5" fillId="0" borderId="72" xfId="56" applyNumberFormat="1" applyFont="1" applyFill="1" applyBorder="1" applyAlignment="1">
      <alignment horizontal="right"/>
      <protection/>
    </xf>
    <xf numFmtId="3" fontId="5" fillId="0" borderId="90" xfId="56" applyNumberFormat="1" applyFont="1" applyFill="1" applyBorder="1">
      <alignment/>
      <protection/>
    </xf>
    <xf numFmtId="3" fontId="5" fillId="0" borderId="95" xfId="0" applyNumberFormat="1" applyFont="1" applyFill="1" applyBorder="1" applyAlignment="1">
      <alignment/>
    </xf>
    <xf numFmtId="3" fontId="5" fillId="0" borderId="96" xfId="58" applyNumberFormat="1" applyFont="1" applyFill="1" applyBorder="1" applyAlignment="1">
      <alignment horizontal="left"/>
      <protection/>
    </xf>
    <xf numFmtId="3" fontId="5" fillId="0" borderId="97" xfId="58" applyNumberFormat="1" applyFont="1" applyFill="1" applyBorder="1" applyAlignment="1">
      <alignment horizontal="right"/>
      <protection/>
    </xf>
    <xf numFmtId="3" fontId="5" fillId="0" borderId="98" xfId="58" applyNumberFormat="1" applyFont="1" applyFill="1" applyBorder="1" applyAlignment="1">
      <alignment horizontal="right"/>
      <protection/>
    </xf>
    <xf numFmtId="3" fontId="5" fillId="0" borderId="72" xfId="0" applyNumberFormat="1" applyFont="1" applyFill="1" applyBorder="1" applyAlignment="1">
      <alignment horizontal="right"/>
    </xf>
    <xf numFmtId="3" fontId="8" fillId="20" borderId="99" xfId="0" applyNumberFormat="1" applyFont="1" applyFill="1" applyBorder="1" applyAlignment="1">
      <alignment horizontal="right"/>
    </xf>
    <xf numFmtId="0" fontId="5" fillId="0" borderId="100" xfId="0" applyFont="1" applyFill="1" applyBorder="1" applyAlignment="1">
      <alignment/>
    </xf>
    <xf numFmtId="3" fontId="5" fillId="0" borderId="101" xfId="58" applyNumberFormat="1" applyFont="1" applyFill="1" applyBorder="1" applyAlignment="1">
      <alignment horizontal="right"/>
      <protection/>
    </xf>
    <xf numFmtId="3" fontId="5" fillId="0" borderId="102" xfId="58" applyNumberFormat="1" applyFont="1" applyFill="1" applyBorder="1" applyAlignment="1">
      <alignment horizontal="right"/>
      <protection/>
    </xf>
    <xf numFmtId="3" fontId="5" fillId="0" borderId="86" xfId="58" applyNumberFormat="1" applyFont="1" applyFill="1" applyBorder="1" applyAlignment="1">
      <alignment horizontal="right"/>
      <protection/>
    </xf>
    <xf numFmtId="3" fontId="5" fillId="0" borderId="103" xfId="0" applyNumberFormat="1" applyFont="1" applyFill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44" xfId="57" applyFont="1" applyFill="1" applyBorder="1" applyAlignment="1">
      <alignment horizontal="left"/>
      <protection/>
    </xf>
    <xf numFmtId="3" fontId="5" fillId="0" borderId="104" xfId="58" applyNumberFormat="1" applyFont="1" applyFill="1" applyBorder="1" applyAlignment="1">
      <alignment horizontal="right"/>
      <protection/>
    </xf>
    <xf numFmtId="3" fontId="9" fillId="4" borderId="13" xfId="58" applyNumberFormat="1" applyFont="1" applyFill="1" applyBorder="1" applyAlignment="1">
      <alignment/>
      <protection/>
    </xf>
    <xf numFmtId="3" fontId="5" fillId="0" borderId="22" xfId="58" applyNumberFormat="1" applyFont="1" applyFill="1" applyBorder="1" applyAlignment="1">
      <alignment/>
      <protection/>
    </xf>
    <xf numFmtId="3" fontId="5" fillId="0" borderId="10" xfId="58" applyNumberFormat="1" applyFont="1" applyFill="1" applyBorder="1" applyAlignment="1">
      <alignment/>
      <protection/>
    </xf>
    <xf numFmtId="3" fontId="5" fillId="0" borderId="17" xfId="58" applyNumberFormat="1" applyFont="1" applyFill="1" applyBorder="1" applyAlignment="1">
      <alignment/>
      <protection/>
    </xf>
    <xf numFmtId="3" fontId="5" fillId="0" borderId="98" xfId="58" applyNumberFormat="1" applyFont="1" applyFill="1" applyBorder="1" applyAlignment="1">
      <alignment/>
      <protection/>
    </xf>
    <xf numFmtId="3" fontId="5" fillId="0" borderId="59" xfId="58" applyNumberFormat="1" applyFont="1" applyFill="1" applyBorder="1" applyAlignment="1">
      <alignment/>
      <protection/>
    </xf>
    <xf numFmtId="3" fontId="5" fillId="0" borderId="72" xfId="58" applyNumberFormat="1" applyFont="1" applyFill="1" applyBorder="1" applyAlignment="1">
      <alignment/>
      <protection/>
    </xf>
    <xf numFmtId="3" fontId="5" fillId="0" borderId="100" xfId="0" applyNumberFormat="1" applyFont="1" applyFill="1" applyBorder="1" applyAlignment="1">
      <alignment/>
    </xf>
    <xf numFmtId="3" fontId="5" fillId="0" borderId="105" xfId="61" applyNumberFormat="1" applyFont="1" applyFill="1" applyBorder="1" applyAlignment="1">
      <alignment/>
      <protection/>
    </xf>
    <xf numFmtId="3" fontId="5" fillId="0" borderId="106" xfId="0" applyNumberFormat="1" applyFont="1" applyFill="1" applyBorder="1" applyAlignment="1">
      <alignment/>
    </xf>
    <xf numFmtId="3" fontId="9" fillId="4" borderId="40" xfId="58" applyNumberFormat="1" applyFont="1" applyFill="1" applyBorder="1" applyAlignment="1">
      <alignment/>
      <protection/>
    </xf>
    <xf numFmtId="3" fontId="9" fillId="4" borderId="29" xfId="58" applyNumberFormat="1" applyFont="1" applyFill="1" applyBorder="1" applyAlignment="1">
      <alignment/>
      <protection/>
    </xf>
    <xf numFmtId="3" fontId="5" fillId="0" borderId="107" xfId="0" applyNumberFormat="1" applyFont="1" applyFill="1" applyBorder="1" applyAlignment="1">
      <alignment horizontal="center" vertical="center" wrapText="1"/>
    </xf>
    <xf numFmtId="3" fontId="5" fillId="0" borderId="108" xfId="0" applyNumberFormat="1" applyFont="1" applyFill="1" applyBorder="1" applyAlignment="1">
      <alignment/>
    </xf>
    <xf numFmtId="3" fontId="5" fillId="0" borderId="16" xfId="56" applyNumberFormat="1" applyFont="1" applyFill="1" applyBorder="1" applyAlignment="1">
      <alignment horizontal="right"/>
      <protection/>
    </xf>
    <xf numFmtId="3" fontId="8" fillId="20" borderId="109" xfId="0" applyNumberFormat="1" applyFont="1" applyFill="1" applyBorder="1" applyAlignment="1">
      <alignment horizontal="right"/>
    </xf>
    <xf numFmtId="3" fontId="5" fillId="0" borderId="106" xfId="56" applyNumberFormat="1" applyFont="1" applyFill="1" applyBorder="1">
      <alignment/>
      <protection/>
    </xf>
    <xf numFmtId="3" fontId="5" fillId="0" borderId="110" xfId="0" applyNumberFormat="1" applyFont="1" applyFill="1" applyBorder="1" applyAlignment="1">
      <alignment/>
    </xf>
    <xf numFmtId="3" fontId="5" fillId="0" borderId="111" xfId="0" applyNumberFormat="1" applyFont="1" applyFill="1" applyBorder="1" applyAlignment="1">
      <alignment/>
    </xf>
    <xf numFmtId="3" fontId="5" fillId="0" borderId="10" xfId="56" applyNumberFormat="1" applyFont="1" applyFill="1" applyBorder="1" applyAlignment="1">
      <alignment wrapText="1"/>
      <protection/>
    </xf>
    <xf numFmtId="3" fontId="9" fillId="23" borderId="13" xfId="58" applyNumberFormat="1" applyFont="1" applyFill="1" applyBorder="1" applyAlignment="1">
      <alignment/>
      <protection/>
    </xf>
    <xf numFmtId="3" fontId="5" fillId="0" borderId="100" xfId="56" applyNumberFormat="1" applyFont="1" applyFill="1" applyBorder="1">
      <alignment/>
      <protection/>
    </xf>
    <xf numFmtId="3" fontId="5" fillId="0" borderId="112" xfId="0" applyNumberFormat="1" applyFont="1" applyFill="1" applyBorder="1" applyAlignment="1">
      <alignment/>
    </xf>
    <xf numFmtId="3" fontId="5" fillId="0" borderId="113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9" fillId="4" borderId="13" xfId="0" applyNumberFormat="1" applyFont="1" applyFill="1" applyBorder="1" applyAlignment="1">
      <alignment/>
    </xf>
    <xf numFmtId="3" fontId="5" fillId="0" borderId="10" xfId="57" applyNumberFormat="1" applyFont="1" applyFill="1" applyBorder="1" applyAlignment="1">
      <alignment wrapText="1"/>
      <protection/>
    </xf>
    <xf numFmtId="3" fontId="5" fillId="0" borderId="18" xfId="0" applyNumberFormat="1" applyFont="1" applyFill="1" applyBorder="1" applyAlignment="1">
      <alignment/>
    </xf>
    <xf numFmtId="3" fontId="5" fillId="0" borderId="57" xfId="56" applyNumberFormat="1" applyFont="1" applyFill="1" applyBorder="1" applyAlignment="1">
      <alignment/>
      <protection/>
    </xf>
    <xf numFmtId="3" fontId="5" fillId="0" borderId="106" xfId="0" applyNumberFormat="1" applyFont="1" applyFill="1" applyBorder="1" applyAlignment="1">
      <alignment/>
    </xf>
    <xf numFmtId="3" fontId="5" fillId="0" borderId="86" xfId="56" applyNumberFormat="1" applyFont="1" applyFill="1" applyBorder="1" applyAlignment="1">
      <alignment/>
      <protection/>
    </xf>
    <xf numFmtId="49" fontId="5" fillId="0" borderId="46" xfId="58" applyNumberFormat="1" applyFont="1" applyFill="1" applyBorder="1" applyAlignment="1">
      <alignment horizontal="left"/>
      <protection/>
    </xf>
    <xf numFmtId="3" fontId="5" fillId="0" borderId="23" xfId="56" applyNumberFormat="1" applyFont="1" applyFill="1" applyBorder="1" applyAlignment="1">
      <alignment/>
      <protection/>
    </xf>
    <xf numFmtId="3" fontId="5" fillId="0" borderId="22" xfId="56" applyNumberFormat="1" applyFont="1" applyFill="1" applyBorder="1" applyAlignment="1">
      <alignment/>
      <protection/>
    </xf>
    <xf numFmtId="3" fontId="8" fillId="20" borderId="114" xfId="0" applyNumberFormat="1" applyFont="1" applyFill="1" applyBorder="1" applyAlignment="1">
      <alignment horizontal="right"/>
    </xf>
    <xf numFmtId="3" fontId="5" fillId="0" borderId="115" xfId="0" applyNumberFormat="1" applyFont="1" applyFill="1" applyBorder="1" applyAlignment="1">
      <alignment/>
    </xf>
    <xf numFmtId="3" fontId="5" fillId="0" borderId="106" xfId="59" applyNumberFormat="1" applyFont="1" applyFill="1" applyBorder="1" applyAlignment="1">
      <alignment horizontal="right"/>
      <protection/>
    </xf>
    <xf numFmtId="3" fontId="5" fillId="0" borderId="86" xfId="59" applyNumberFormat="1" applyFont="1" applyFill="1" applyBorder="1" applyAlignment="1">
      <alignment horizontal="right"/>
      <protection/>
    </xf>
    <xf numFmtId="3" fontId="5" fillId="0" borderId="98" xfId="0" applyNumberFormat="1" applyFont="1" applyFill="1" applyBorder="1" applyAlignment="1">
      <alignment horizontal="right"/>
    </xf>
    <xf numFmtId="3" fontId="5" fillId="0" borderId="0" xfId="62" applyNumberFormat="1" applyFont="1" applyFill="1" applyBorder="1" applyAlignment="1">
      <alignment/>
      <protection/>
    </xf>
    <xf numFmtId="3" fontId="9" fillId="0" borderId="0" xfId="62" applyNumberFormat="1" applyFont="1" applyFill="1" applyBorder="1" applyAlignment="1">
      <alignment/>
      <protection/>
    </xf>
    <xf numFmtId="3" fontId="9" fillId="0" borderId="0" xfId="0" applyNumberFormat="1" applyFont="1" applyFill="1" applyAlignment="1">
      <alignment/>
    </xf>
    <xf numFmtId="3" fontId="5" fillId="0" borderId="11" xfId="59" applyNumberFormat="1" applyFont="1" applyFill="1" applyBorder="1" applyAlignment="1">
      <alignment/>
      <protection/>
    </xf>
    <xf numFmtId="3" fontId="5" fillId="0" borderId="106" xfId="0" applyNumberFormat="1" applyFont="1" applyFill="1" applyBorder="1" applyAlignment="1">
      <alignment horizontal="right"/>
    </xf>
    <xf numFmtId="3" fontId="5" fillId="0" borderId="84" xfId="57" applyNumberFormat="1" applyFont="1" applyFill="1" applyBorder="1" applyAlignment="1">
      <alignment horizontal="right"/>
      <protection/>
    </xf>
    <xf numFmtId="3" fontId="5" fillId="0" borderId="116" xfId="0" applyNumberFormat="1" applyFont="1" applyFill="1" applyBorder="1" applyAlignment="1">
      <alignment/>
    </xf>
    <xf numFmtId="3" fontId="5" fillId="24" borderId="86" xfId="0" applyNumberFormat="1" applyFont="1" applyFill="1" applyBorder="1" applyAlignment="1">
      <alignment/>
    </xf>
    <xf numFmtId="3" fontId="5" fillId="0" borderId="117" xfId="0" applyNumberFormat="1" applyFont="1" applyFill="1" applyBorder="1" applyAlignment="1">
      <alignment/>
    </xf>
    <xf numFmtId="3" fontId="5" fillId="0" borderId="115" xfId="57" applyNumberFormat="1" applyFont="1" applyFill="1" applyBorder="1" applyAlignment="1">
      <alignment horizontal="right"/>
      <protection/>
    </xf>
    <xf numFmtId="0" fontId="5" fillId="0" borderId="106" xfId="0" applyFont="1" applyFill="1" applyBorder="1" applyAlignment="1">
      <alignment/>
    </xf>
    <xf numFmtId="3" fontId="5" fillId="22" borderId="76" xfId="0" applyNumberFormat="1" applyFont="1" applyFill="1" applyBorder="1" applyAlignment="1">
      <alignment horizontal="center" vertical="center" wrapText="1"/>
    </xf>
    <xf numFmtId="3" fontId="5" fillId="0" borderId="118" xfId="0" applyNumberFormat="1" applyFont="1" applyFill="1" applyBorder="1" applyAlignment="1">
      <alignment horizontal="center" vertical="center"/>
    </xf>
    <xf numFmtId="3" fontId="9" fillId="0" borderId="119" xfId="0" applyNumberFormat="1" applyFont="1" applyFill="1" applyBorder="1" applyAlignment="1">
      <alignment horizontal="center" vertical="center" wrapText="1"/>
    </xf>
    <xf numFmtId="3" fontId="5" fillId="0" borderId="120" xfId="0" applyNumberFormat="1" applyFont="1" applyFill="1" applyBorder="1" applyAlignment="1">
      <alignment horizontal="center" vertical="center"/>
    </xf>
    <xf numFmtId="3" fontId="9" fillId="4" borderId="121" xfId="58" applyNumberFormat="1" applyFont="1" applyFill="1" applyBorder="1" applyAlignment="1">
      <alignment horizontal="right"/>
      <protection/>
    </xf>
    <xf numFmtId="3" fontId="5" fillId="0" borderId="122" xfId="56" applyNumberFormat="1" applyFont="1" applyFill="1" applyBorder="1" applyAlignment="1">
      <alignment horizontal="right"/>
      <protection/>
    </xf>
    <xf numFmtId="3" fontId="5" fillId="22" borderId="78" xfId="0" applyNumberFormat="1" applyFont="1" applyFill="1" applyBorder="1" applyAlignment="1">
      <alignment horizontal="center" vertical="center" wrapText="1"/>
    </xf>
    <xf numFmtId="3" fontId="5" fillId="22" borderId="101" xfId="0" applyNumberFormat="1" applyFont="1" applyFill="1" applyBorder="1" applyAlignment="1">
      <alignment/>
    </xf>
    <xf numFmtId="3" fontId="5" fillId="22" borderId="30" xfId="0" applyNumberFormat="1" applyFont="1" applyFill="1" applyBorder="1" applyAlignment="1">
      <alignment/>
    </xf>
    <xf numFmtId="3" fontId="5" fillId="22" borderId="123" xfId="0" applyNumberFormat="1" applyFont="1" applyFill="1" applyBorder="1" applyAlignment="1">
      <alignment/>
    </xf>
    <xf numFmtId="3" fontId="5" fillId="22" borderId="101" xfId="57" applyNumberFormat="1" applyFont="1" applyFill="1" applyBorder="1" applyAlignment="1">
      <alignment horizontal="right"/>
      <protection/>
    </xf>
    <xf numFmtId="3" fontId="5" fillId="22" borderId="104" xfId="57" applyNumberFormat="1" applyFont="1" applyFill="1" applyBorder="1" applyAlignment="1">
      <alignment horizontal="right"/>
      <protection/>
    </xf>
    <xf numFmtId="0" fontId="5" fillId="22" borderId="30" xfId="0" applyFont="1" applyFill="1" applyBorder="1" applyAlignment="1">
      <alignment/>
    </xf>
    <xf numFmtId="3" fontId="5" fillId="22" borderId="30" xfId="0" applyNumberFormat="1" applyFont="1" applyFill="1" applyBorder="1" applyAlignment="1">
      <alignment/>
    </xf>
    <xf numFmtId="3" fontId="9" fillId="0" borderId="124" xfId="0" applyNumberFormat="1" applyFont="1" applyFill="1" applyBorder="1" applyAlignment="1">
      <alignment horizontal="center" vertical="center" wrapText="1"/>
    </xf>
    <xf numFmtId="3" fontId="5" fillId="22" borderId="20" xfId="56" applyNumberFormat="1" applyFont="1" applyFill="1" applyBorder="1">
      <alignment/>
      <protection/>
    </xf>
    <xf numFmtId="3" fontId="9" fillId="4" borderId="83" xfId="58" applyNumberFormat="1" applyFont="1" applyFill="1" applyBorder="1" applyAlignment="1">
      <alignment horizontal="right"/>
      <protection/>
    </xf>
    <xf numFmtId="3" fontId="9" fillId="4" borderId="82" xfId="58" applyNumberFormat="1" applyFont="1" applyFill="1" applyBorder="1" applyAlignment="1">
      <alignment horizontal="right"/>
      <protection/>
    </xf>
    <xf numFmtId="3" fontId="9" fillId="4" borderId="89" xfId="58" applyNumberFormat="1" applyFont="1" applyFill="1" applyBorder="1" applyAlignment="1">
      <alignment horizontal="right"/>
      <protection/>
    </xf>
    <xf numFmtId="49" fontId="5" fillId="0" borderId="0" xfId="0" applyNumberFormat="1" applyFont="1" applyFill="1" applyBorder="1" applyAlignment="1">
      <alignment/>
    </xf>
    <xf numFmtId="49" fontId="5" fillId="0" borderId="0" xfId="56" applyNumberFormat="1" applyFont="1" applyFill="1" applyBorder="1" applyAlignment="1">
      <alignment horizontal="left" indent="1"/>
      <protection/>
    </xf>
    <xf numFmtId="3" fontId="5" fillId="0" borderId="0" xfId="56" applyNumberFormat="1" applyFont="1" applyFill="1" applyBorder="1" applyAlignment="1">
      <alignment horizontal="right"/>
      <protection/>
    </xf>
    <xf numFmtId="3" fontId="5" fillId="22" borderId="102" xfId="0" applyNumberFormat="1" applyFont="1" applyFill="1" applyBorder="1" applyAlignment="1">
      <alignment/>
    </xf>
    <xf numFmtId="3" fontId="5" fillId="0" borderId="0" xfId="58" applyNumberFormat="1" applyFont="1" applyFill="1" applyBorder="1" applyAlignment="1">
      <alignment horizontal="right"/>
      <protection/>
    </xf>
    <xf numFmtId="49" fontId="5" fillId="0" borderId="0" xfId="56" applyNumberFormat="1" applyFont="1" applyFill="1" applyBorder="1" applyAlignment="1">
      <alignment horizontal="left"/>
      <protection/>
    </xf>
    <xf numFmtId="3" fontId="5" fillId="0" borderId="0" xfId="58" applyNumberFormat="1" applyFont="1" applyFill="1" applyBorder="1" applyAlignment="1">
      <alignment horizontal="left"/>
      <protection/>
    </xf>
    <xf numFmtId="3" fontId="5" fillId="0" borderId="0" xfId="56" applyNumberFormat="1" applyFont="1" applyFill="1" applyBorder="1">
      <alignment/>
      <protection/>
    </xf>
    <xf numFmtId="3" fontId="5" fillId="0" borderId="95" xfId="56" applyNumberFormat="1" applyFont="1" applyFill="1" applyBorder="1">
      <alignment/>
      <protection/>
    </xf>
    <xf numFmtId="3" fontId="5" fillId="0" borderId="125" xfId="56" applyNumberFormat="1" applyFont="1" applyFill="1" applyBorder="1">
      <alignment/>
      <protection/>
    </xf>
    <xf numFmtId="3" fontId="5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right"/>
    </xf>
    <xf numFmtId="3" fontId="21" fillId="0" borderId="0" xfId="56" applyNumberFormat="1" applyFont="1" applyFill="1" applyBorder="1">
      <alignment/>
      <protection/>
    </xf>
    <xf numFmtId="3" fontId="21" fillId="0" borderId="0" xfId="0" applyNumberFormat="1" applyFont="1" applyFill="1" applyBorder="1" applyAlignment="1">
      <alignment/>
    </xf>
    <xf numFmtId="3" fontId="5" fillId="22" borderId="70" xfId="0" applyNumberFormat="1" applyFont="1" applyFill="1" applyBorder="1" applyAlignment="1">
      <alignment/>
    </xf>
    <xf numFmtId="3" fontId="5" fillId="0" borderId="68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5" fillId="0" borderId="19" xfId="0" applyNumberFormat="1" applyFont="1" applyFill="1" applyBorder="1" applyAlignment="1">
      <alignment/>
    </xf>
    <xf numFmtId="49" fontId="22" fillId="0" borderId="36" xfId="56" applyNumberFormat="1" applyFont="1" applyBorder="1" applyAlignment="1">
      <alignment horizontal="left"/>
      <protection/>
    </xf>
    <xf numFmtId="0" fontId="22" fillId="0" borderId="0" xfId="0" applyFont="1" applyAlignment="1">
      <alignment/>
    </xf>
    <xf numFmtId="49" fontId="22" fillId="0" borderId="36" xfId="56" applyNumberFormat="1" applyFont="1" applyFill="1" applyBorder="1" applyAlignment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3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3" fillId="0" borderId="0" xfId="0" applyFont="1" applyAlignment="1">
      <alignment vertical="center"/>
    </xf>
    <xf numFmtId="3" fontId="0" fillId="11" borderId="0" xfId="0" applyNumberFormat="1" applyFill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  <xf numFmtId="3" fontId="5" fillId="0" borderId="126" xfId="0" applyNumberFormat="1" applyFont="1" applyFill="1" applyBorder="1" applyAlignment="1">
      <alignment/>
    </xf>
    <xf numFmtId="3" fontId="5" fillId="0" borderId="127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9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49" fontId="5" fillId="25" borderId="44" xfId="56" applyNumberFormat="1" applyFont="1" applyFill="1" applyBorder="1" applyAlignment="1">
      <alignment horizontal="left"/>
      <protection/>
    </xf>
    <xf numFmtId="3" fontId="5" fillId="25" borderId="86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49" fontId="30" fillId="0" borderId="41" xfId="58" applyNumberFormat="1" applyFont="1" applyFill="1" applyBorder="1" applyAlignment="1">
      <alignment horizontal="left"/>
      <protection/>
    </xf>
    <xf numFmtId="3" fontId="30" fillId="0" borderId="40" xfId="0" applyNumberFormat="1" applyFont="1" applyFill="1" applyBorder="1" applyAlignment="1">
      <alignment horizontal="right"/>
    </xf>
    <xf numFmtId="49" fontId="31" fillId="0" borderId="42" xfId="58" applyNumberFormat="1" applyFont="1" applyFill="1" applyBorder="1" applyAlignment="1">
      <alignment horizontal="left"/>
      <protection/>
    </xf>
    <xf numFmtId="3" fontId="31" fillId="0" borderId="15" xfId="0" applyNumberFormat="1" applyFont="1" applyFill="1" applyBorder="1" applyAlignment="1">
      <alignment horizontal="right"/>
    </xf>
    <xf numFmtId="49" fontId="15" fillId="0" borderId="4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5" fillId="0" borderId="88" xfId="56" applyNumberFormat="1" applyFont="1" applyFill="1" applyBorder="1">
      <alignment/>
      <protection/>
    </xf>
    <xf numFmtId="3" fontId="5" fillId="0" borderId="30" xfId="56" applyNumberFormat="1" applyFont="1" applyFill="1" applyBorder="1">
      <alignment/>
      <protection/>
    </xf>
    <xf numFmtId="3" fontId="5" fillId="0" borderId="122" xfId="56" applyNumberFormat="1" applyFont="1" applyFill="1" applyBorder="1">
      <alignment/>
      <protection/>
    </xf>
    <xf numFmtId="49" fontId="5" fillId="0" borderId="128" xfId="56" applyNumberFormat="1" applyFont="1" applyFill="1" applyBorder="1" applyAlignment="1">
      <alignment horizontal="left" indent="1"/>
      <protection/>
    </xf>
    <xf numFmtId="3" fontId="5" fillId="0" borderId="129" xfId="0" applyNumberFormat="1" applyFont="1" applyFill="1" applyBorder="1" applyAlignment="1">
      <alignment/>
    </xf>
    <xf numFmtId="3" fontId="5" fillId="0" borderId="130" xfId="0" applyNumberFormat="1" applyFont="1" applyFill="1" applyBorder="1" applyAlignment="1">
      <alignment/>
    </xf>
    <xf numFmtId="3" fontId="5" fillId="0" borderId="131" xfId="0" applyNumberFormat="1" applyFont="1" applyFill="1" applyBorder="1" applyAlignment="1">
      <alignment/>
    </xf>
    <xf numFmtId="3" fontId="5" fillId="0" borderId="132" xfId="0" applyNumberFormat="1" applyFont="1" applyFill="1" applyBorder="1" applyAlignment="1">
      <alignment/>
    </xf>
    <xf numFmtId="3" fontId="5" fillId="0" borderId="133" xfId="0" applyNumberFormat="1" applyFont="1" applyFill="1" applyBorder="1" applyAlignment="1">
      <alignment/>
    </xf>
    <xf numFmtId="49" fontId="22" fillId="0" borderId="44" xfId="0" applyNumberFormat="1" applyFont="1" applyFill="1" applyBorder="1" applyAlignment="1">
      <alignment horizontal="left"/>
    </xf>
    <xf numFmtId="0" fontId="22" fillId="0" borderId="0" xfId="0" applyFont="1" applyFill="1" applyAlignment="1">
      <alignment/>
    </xf>
    <xf numFmtId="49" fontId="22" fillId="4" borderId="134" xfId="58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/>
    </xf>
    <xf numFmtId="3" fontId="0" fillId="8" borderId="0" xfId="0" applyNumberFormat="1" applyFont="1" applyFill="1" applyAlignment="1">
      <alignment/>
    </xf>
    <xf numFmtId="3" fontId="5" fillId="0" borderId="115" xfId="56" applyNumberFormat="1" applyFont="1" applyFill="1" applyBorder="1">
      <alignment/>
      <protection/>
    </xf>
    <xf numFmtId="3" fontId="22" fillId="22" borderId="0" xfId="0" applyNumberFormat="1" applyFont="1" applyFill="1" applyBorder="1" applyAlignment="1">
      <alignment horizontal="right"/>
    </xf>
    <xf numFmtId="3" fontId="22" fillId="22" borderId="135" xfId="59" applyNumberFormat="1" applyFont="1" applyFill="1" applyBorder="1" applyAlignment="1">
      <alignment horizontal="right"/>
      <protection/>
    </xf>
    <xf numFmtId="3" fontId="5" fillId="22" borderId="135" xfId="59" applyNumberFormat="1" applyFont="1" applyFill="1" applyBorder="1" applyAlignment="1">
      <alignment horizontal="right"/>
      <protection/>
    </xf>
    <xf numFmtId="3" fontId="5" fillId="22" borderId="0" xfId="0" applyNumberFormat="1" applyFont="1" applyFill="1" applyBorder="1" applyAlignment="1">
      <alignment/>
    </xf>
    <xf numFmtId="3" fontId="5" fillId="22" borderId="135" xfId="0" applyNumberFormat="1" applyFont="1" applyFill="1" applyBorder="1" applyAlignment="1">
      <alignment/>
    </xf>
    <xf numFmtId="3" fontId="9" fillId="22" borderId="14" xfId="0" applyNumberFormat="1" applyFont="1" applyFill="1" applyBorder="1" applyAlignment="1">
      <alignment horizontal="right"/>
    </xf>
    <xf numFmtId="3" fontId="5" fillId="22" borderId="20" xfId="0" applyNumberFormat="1" applyFont="1" applyFill="1" applyBorder="1" applyAlignment="1">
      <alignment/>
    </xf>
    <xf numFmtId="49" fontId="9" fillId="0" borderId="0" xfId="0" applyNumberFormat="1" applyFont="1" applyAlignment="1">
      <alignment/>
    </xf>
    <xf numFmtId="3" fontId="11" fillId="24" borderId="77" xfId="0" applyNumberFormat="1" applyFont="1" applyFill="1" applyBorder="1" applyAlignment="1">
      <alignment horizontal="center" vertical="center" wrapText="1"/>
    </xf>
    <xf numFmtId="3" fontId="35" fillId="2" borderId="77" xfId="0" applyNumberFormat="1" applyFont="1" applyFill="1" applyBorder="1" applyAlignment="1">
      <alignment horizontal="center" vertical="center" wrapText="1"/>
    </xf>
    <xf numFmtId="49" fontId="9" fillId="0" borderId="136" xfId="0" applyNumberFormat="1" applyFont="1" applyFill="1" applyBorder="1" applyAlignment="1">
      <alignment horizontal="center" vertical="center" wrapText="1"/>
    </xf>
    <xf numFmtId="0" fontId="5" fillId="0" borderId="137" xfId="0" applyFont="1" applyFill="1" applyBorder="1" applyAlignment="1">
      <alignment horizontal="center" vertical="center"/>
    </xf>
    <xf numFmtId="3" fontId="8" fillId="20" borderId="138" xfId="0" applyNumberFormat="1" applyFont="1" applyFill="1" applyBorder="1" applyAlignment="1">
      <alignment horizontal="right"/>
    </xf>
    <xf numFmtId="3" fontId="9" fillId="23" borderId="139" xfId="0" applyNumberFormat="1" applyFont="1" applyFill="1" applyBorder="1" applyAlignment="1">
      <alignment horizontal="right"/>
    </xf>
    <xf numFmtId="3" fontId="9" fillId="4" borderId="139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/>
    </xf>
    <xf numFmtId="3" fontId="5" fillId="0" borderId="140" xfId="0" applyNumberFormat="1" applyFont="1" applyFill="1" applyBorder="1" applyAlignment="1">
      <alignment/>
    </xf>
    <xf numFmtId="49" fontId="18" fillId="22" borderId="141" xfId="0" applyNumberFormat="1" applyFont="1" applyFill="1" applyBorder="1" applyAlignment="1">
      <alignment horizontal="center" vertical="center" wrapText="1"/>
    </xf>
    <xf numFmtId="3" fontId="5" fillId="22" borderId="142" xfId="0" applyNumberFormat="1" applyFont="1" applyFill="1" applyBorder="1" applyAlignment="1">
      <alignment horizontal="center" vertical="center" wrapText="1"/>
    </xf>
    <xf numFmtId="3" fontId="8" fillId="20" borderId="141" xfId="0" applyNumberFormat="1" applyFont="1" applyFill="1" applyBorder="1" applyAlignment="1">
      <alignment horizontal="right"/>
    </xf>
    <xf numFmtId="3" fontId="9" fillId="22" borderId="143" xfId="0" applyNumberFormat="1" applyFont="1" applyFill="1" applyBorder="1" applyAlignment="1">
      <alignment horizontal="right"/>
    </xf>
    <xf numFmtId="3" fontId="9" fillId="4" borderId="143" xfId="0" applyNumberFormat="1" applyFont="1" applyFill="1" applyBorder="1" applyAlignment="1">
      <alignment horizontal="right"/>
    </xf>
    <xf numFmtId="3" fontId="5" fillId="22" borderId="144" xfId="0" applyNumberFormat="1" applyFont="1" applyFill="1" applyBorder="1" applyAlignment="1">
      <alignment/>
    </xf>
    <xf numFmtId="3" fontId="5" fillId="22" borderId="135" xfId="0" applyNumberFormat="1" applyFont="1" applyFill="1" applyBorder="1" applyAlignment="1">
      <alignment horizontal="right"/>
    </xf>
    <xf numFmtId="3" fontId="5" fillId="22" borderId="142" xfId="0" applyNumberFormat="1" applyFont="1" applyFill="1" applyBorder="1" applyAlignment="1">
      <alignment/>
    </xf>
    <xf numFmtId="3" fontId="8" fillId="20" borderId="145" xfId="0" applyNumberFormat="1" applyFont="1" applyFill="1" applyBorder="1" applyAlignment="1">
      <alignment horizontal="right"/>
    </xf>
    <xf numFmtId="3" fontId="5" fillId="22" borderId="25" xfId="0" applyNumberFormat="1" applyFont="1" applyFill="1" applyBorder="1" applyAlignment="1">
      <alignment/>
    </xf>
    <xf numFmtId="3" fontId="5" fillId="22" borderId="20" xfId="0" applyNumberFormat="1" applyFont="1" applyFill="1" applyBorder="1" applyAlignment="1">
      <alignment/>
    </xf>
    <xf numFmtId="3" fontId="5" fillId="22" borderId="20" xfId="0" applyNumberFormat="1" applyFont="1" applyFill="1" applyBorder="1" applyAlignment="1">
      <alignment horizontal="right"/>
    </xf>
    <xf numFmtId="3" fontId="5" fillId="25" borderId="11" xfId="0" applyNumberFormat="1" applyFont="1" applyFill="1" applyBorder="1" applyAlignment="1">
      <alignment/>
    </xf>
    <xf numFmtId="49" fontId="18" fillId="22" borderId="146" xfId="0" applyNumberFormat="1" applyFont="1" applyFill="1" applyBorder="1" applyAlignment="1">
      <alignment horizontal="center" vertical="center" wrapText="1"/>
    </xf>
    <xf numFmtId="49" fontId="20" fillId="24" borderId="147" xfId="0" applyNumberFormat="1" applyFont="1" applyFill="1" applyBorder="1" applyAlignment="1">
      <alignment horizontal="center" vertical="center" wrapText="1"/>
    </xf>
    <xf numFmtId="49" fontId="34" fillId="2" borderId="147" xfId="0" applyNumberFormat="1" applyFont="1" applyFill="1" applyBorder="1" applyAlignment="1">
      <alignment horizontal="center" vertical="center" wrapText="1"/>
    </xf>
    <xf numFmtId="49" fontId="34" fillId="2" borderId="148" xfId="0" applyNumberFormat="1" applyFont="1" applyFill="1" applyBorder="1" applyAlignment="1">
      <alignment horizontal="center" vertical="center" wrapText="1"/>
    </xf>
    <xf numFmtId="3" fontId="35" fillId="2" borderId="107" xfId="0" applyNumberFormat="1" applyFont="1" applyFill="1" applyBorder="1" applyAlignment="1">
      <alignment horizontal="center" vertical="center" wrapText="1"/>
    </xf>
    <xf numFmtId="3" fontId="8" fillId="20" borderId="149" xfId="0" applyNumberFormat="1" applyFont="1" applyFill="1" applyBorder="1" applyAlignment="1">
      <alignment horizontal="right"/>
    </xf>
    <xf numFmtId="3" fontId="9" fillId="23" borderId="150" xfId="0" applyNumberFormat="1" applyFont="1" applyFill="1" applyBorder="1" applyAlignment="1">
      <alignment horizontal="right"/>
    </xf>
    <xf numFmtId="3" fontId="9" fillId="4" borderId="150" xfId="0" applyNumberFormat="1" applyFont="1" applyFill="1" applyBorder="1" applyAlignment="1">
      <alignment horizontal="right"/>
    </xf>
    <xf numFmtId="3" fontId="5" fillId="0" borderId="57" xfId="0" applyNumberFormat="1" applyFont="1" applyFill="1" applyBorder="1" applyAlignment="1">
      <alignment horizontal="right"/>
    </xf>
    <xf numFmtId="3" fontId="5" fillId="22" borderId="151" xfId="0" applyNumberFormat="1" applyFont="1" applyFill="1" applyBorder="1" applyAlignment="1">
      <alignment/>
    </xf>
    <xf numFmtId="3" fontId="5" fillId="0" borderId="152" xfId="0" applyNumberFormat="1" applyFont="1" applyFill="1" applyBorder="1" applyAlignment="1">
      <alignment/>
    </xf>
    <xf numFmtId="49" fontId="34" fillId="2" borderId="153" xfId="0" applyNumberFormat="1" applyFont="1" applyFill="1" applyBorder="1" applyAlignment="1">
      <alignment horizontal="center" vertical="center" wrapText="1"/>
    </xf>
    <xf numFmtId="49" fontId="31" fillId="0" borderId="60" xfId="58" applyNumberFormat="1" applyFont="1" applyFill="1" applyBorder="1" applyAlignment="1">
      <alignment horizontal="left"/>
      <protection/>
    </xf>
    <xf numFmtId="3" fontId="31" fillId="0" borderId="77" xfId="0" applyNumberFormat="1" applyFont="1" applyFill="1" applyBorder="1" applyAlignment="1">
      <alignment horizontal="right"/>
    </xf>
    <xf numFmtId="3" fontId="30" fillId="0" borderId="81" xfId="0" applyNumberFormat="1" applyFont="1" applyFill="1" applyBorder="1" applyAlignment="1">
      <alignment horizontal="right"/>
    </xf>
    <xf numFmtId="3" fontId="30" fillId="0" borderId="154" xfId="0" applyNumberFormat="1" applyFont="1" applyFill="1" applyBorder="1" applyAlignment="1">
      <alignment horizontal="right"/>
    </xf>
    <xf numFmtId="3" fontId="31" fillId="0" borderId="82" xfId="0" applyNumberFormat="1" applyFont="1" applyFill="1" applyBorder="1" applyAlignment="1">
      <alignment horizontal="right"/>
    </xf>
    <xf numFmtId="3" fontId="31" fillId="0" borderId="121" xfId="0" applyNumberFormat="1" applyFont="1" applyFill="1" applyBorder="1" applyAlignment="1">
      <alignment horizontal="right"/>
    </xf>
    <xf numFmtId="3" fontId="31" fillId="0" borderId="79" xfId="0" applyNumberFormat="1" applyFont="1" applyFill="1" applyBorder="1" applyAlignment="1">
      <alignment horizontal="right"/>
    </xf>
    <xf numFmtId="3" fontId="31" fillId="0" borderId="120" xfId="0" applyNumberFormat="1" applyFont="1" applyFill="1" applyBorder="1" applyAlignment="1">
      <alignment horizontal="right"/>
    </xf>
    <xf numFmtId="3" fontId="30" fillId="22" borderId="155" xfId="0" applyNumberFormat="1" applyFont="1" applyFill="1" applyBorder="1" applyAlignment="1">
      <alignment horizontal="right"/>
    </xf>
    <xf numFmtId="3" fontId="31" fillId="22" borderId="143" xfId="0" applyNumberFormat="1" applyFont="1" applyFill="1" applyBorder="1" applyAlignment="1">
      <alignment horizontal="right"/>
    </xf>
    <xf numFmtId="3" fontId="31" fillId="22" borderId="142" xfId="0" applyNumberFormat="1" applyFont="1" applyFill="1" applyBorder="1" applyAlignment="1">
      <alignment horizontal="right"/>
    </xf>
    <xf numFmtId="49" fontId="18" fillId="22" borderId="156" xfId="0" applyNumberFormat="1" applyFont="1" applyFill="1" applyBorder="1" applyAlignment="1">
      <alignment horizontal="center" vertical="center" wrapText="1"/>
    </xf>
    <xf numFmtId="49" fontId="20" fillId="24" borderId="157" xfId="0" applyNumberFormat="1" applyFont="1" applyFill="1" applyBorder="1" applyAlignment="1">
      <alignment horizontal="center" vertical="center" wrapText="1"/>
    </xf>
    <xf numFmtId="49" fontId="34" fillId="2" borderId="157" xfId="0" applyNumberFormat="1" applyFont="1" applyFill="1" applyBorder="1" applyAlignment="1">
      <alignment horizontal="center" vertical="center" wrapText="1"/>
    </xf>
    <xf numFmtId="3" fontId="11" fillId="24" borderId="79" xfId="0" applyNumberFormat="1" applyFont="1" applyFill="1" applyBorder="1" applyAlignment="1">
      <alignment horizontal="center" vertical="center" wrapText="1"/>
    </xf>
    <xf numFmtId="3" fontId="35" fillId="2" borderId="79" xfId="0" applyNumberFormat="1" applyFont="1" applyFill="1" applyBorder="1" applyAlignment="1">
      <alignment horizontal="center" vertical="center" wrapText="1"/>
    </xf>
    <xf numFmtId="3" fontId="35" fillId="2" borderId="158" xfId="0" applyNumberFormat="1" applyFont="1" applyFill="1" applyBorder="1" applyAlignment="1">
      <alignment horizontal="center" vertical="center" wrapText="1"/>
    </xf>
    <xf numFmtId="3" fontId="30" fillId="22" borderId="80" xfId="0" applyNumberFormat="1" applyFont="1" applyFill="1" applyBorder="1" applyAlignment="1">
      <alignment horizontal="right"/>
    </xf>
    <xf numFmtId="3" fontId="30" fillId="0" borderId="99" xfId="0" applyNumberFormat="1" applyFont="1" applyFill="1" applyBorder="1" applyAlignment="1">
      <alignment horizontal="right"/>
    </xf>
    <xf numFmtId="3" fontId="31" fillId="22" borderId="83" xfId="0" applyNumberFormat="1" applyFont="1" applyFill="1" applyBorder="1" applyAlignment="1">
      <alignment horizontal="right"/>
    </xf>
    <xf numFmtId="3" fontId="31" fillId="0" borderId="89" xfId="0" applyNumberFormat="1" applyFont="1" applyFill="1" applyBorder="1" applyAlignment="1">
      <alignment horizontal="right"/>
    </xf>
    <xf numFmtId="3" fontId="31" fillId="22" borderId="78" xfId="0" applyNumberFormat="1" applyFont="1" applyFill="1" applyBorder="1" applyAlignment="1">
      <alignment horizontal="right"/>
    </xf>
    <xf numFmtId="3" fontId="31" fillId="0" borderId="158" xfId="0" applyNumberFormat="1" applyFont="1" applyFill="1" applyBorder="1" applyAlignment="1">
      <alignment horizontal="right"/>
    </xf>
    <xf numFmtId="3" fontId="9" fillId="22" borderId="83" xfId="0" applyNumberFormat="1" applyFont="1" applyFill="1" applyBorder="1" applyAlignment="1">
      <alignment horizontal="right"/>
    </xf>
    <xf numFmtId="3" fontId="5" fillId="22" borderId="30" xfId="58" applyNumberFormat="1" applyFont="1" applyFill="1" applyBorder="1" applyAlignment="1">
      <alignment horizontal="right" wrapText="1"/>
      <protection/>
    </xf>
    <xf numFmtId="3" fontId="5" fillId="0" borderId="86" xfId="58" applyNumberFormat="1" applyFont="1" applyFill="1" applyBorder="1" applyAlignment="1">
      <alignment horizontal="right" wrapText="1"/>
      <protection/>
    </xf>
    <xf numFmtId="3" fontId="5" fillId="0" borderId="106" xfId="58" applyNumberFormat="1" applyFont="1" applyFill="1" applyBorder="1" applyAlignment="1">
      <alignment horizontal="right" wrapText="1"/>
      <protection/>
    </xf>
    <xf numFmtId="3" fontId="5" fillId="22" borderId="30" xfId="58" applyNumberFormat="1" applyFont="1" applyFill="1" applyBorder="1" applyAlignment="1">
      <alignment horizontal="right"/>
      <protection/>
    </xf>
    <xf numFmtId="3" fontId="5" fillId="0" borderId="106" xfId="58" applyNumberFormat="1" applyFont="1" applyFill="1" applyBorder="1" applyAlignment="1">
      <alignment horizontal="right"/>
      <protection/>
    </xf>
    <xf numFmtId="0" fontId="5" fillId="0" borderId="86" xfId="0" applyFont="1" applyFill="1" applyBorder="1" applyAlignment="1">
      <alignment/>
    </xf>
    <xf numFmtId="3" fontId="5" fillId="22" borderId="30" xfId="57" applyNumberFormat="1" applyFont="1" applyFill="1" applyBorder="1" applyAlignment="1">
      <alignment horizontal="right" wrapText="1"/>
      <protection/>
    </xf>
    <xf numFmtId="3" fontId="5" fillId="0" borderId="86" xfId="57" applyNumberFormat="1" applyFont="1" applyFill="1" applyBorder="1" applyAlignment="1">
      <alignment horizontal="right" wrapText="1"/>
      <protection/>
    </xf>
    <xf numFmtId="3" fontId="5" fillId="0" borderId="106" xfId="57" applyNumberFormat="1" applyFont="1" applyFill="1" applyBorder="1" applyAlignment="1">
      <alignment horizontal="right" wrapText="1"/>
      <protection/>
    </xf>
    <xf numFmtId="3" fontId="5" fillId="22" borderId="30" xfId="57" applyNumberFormat="1" applyFont="1" applyFill="1" applyBorder="1" applyAlignment="1">
      <alignment wrapText="1"/>
      <protection/>
    </xf>
    <xf numFmtId="3" fontId="5" fillId="0" borderId="86" xfId="57" applyNumberFormat="1" applyFont="1" applyFill="1" applyBorder="1" applyAlignment="1">
      <alignment wrapText="1"/>
      <protection/>
    </xf>
    <xf numFmtId="3" fontId="5" fillId="0" borderId="106" xfId="57" applyNumberFormat="1" applyFont="1" applyFill="1" applyBorder="1" applyAlignment="1">
      <alignment wrapText="1"/>
      <protection/>
    </xf>
    <xf numFmtId="3" fontId="5" fillId="22" borderId="30" xfId="0" applyNumberFormat="1" applyFont="1" applyFill="1" applyBorder="1" applyAlignment="1">
      <alignment wrapText="1"/>
    </xf>
    <xf numFmtId="3" fontId="5" fillId="0" borderId="86" xfId="0" applyNumberFormat="1" applyFont="1" applyFill="1" applyBorder="1" applyAlignment="1">
      <alignment wrapText="1"/>
    </xf>
    <xf numFmtId="3" fontId="5" fillId="0" borderId="106" xfId="0" applyNumberFormat="1" applyFont="1" applyFill="1" applyBorder="1" applyAlignment="1">
      <alignment wrapText="1"/>
    </xf>
    <xf numFmtId="3" fontId="9" fillId="4" borderId="83" xfId="0" applyNumberFormat="1" applyFont="1" applyFill="1" applyBorder="1" applyAlignment="1">
      <alignment/>
    </xf>
    <xf numFmtId="3" fontId="9" fillId="4" borderId="82" xfId="0" applyNumberFormat="1" applyFont="1" applyFill="1" applyBorder="1" applyAlignment="1">
      <alignment/>
    </xf>
    <xf numFmtId="3" fontId="5" fillId="22" borderId="102" xfId="0" applyNumberFormat="1" applyFont="1" applyFill="1" applyBorder="1" applyAlignment="1">
      <alignment/>
    </xf>
    <xf numFmtId="3" fontId="5" fillId="0" borderId="95" xfId="58" applyNumberFormat="1" applyFont="1" applyFill="1" applyBorder="1" applyAlignment="1">
      <alignment horizontal="right"/>
      <protection/>
    </xf>
    <xf numFmtId="3" fontId="5" fillId="0" borderId="125" xfId="0" applyNumberFormat="1" applyFont="1" applyFill="1" applyBorder="1" applyAlignment="1">
      <alignment/>
    </xf>
    <xf numFmtId="3" fontId="9" fillId="22" borderId="141" xfId="0" applyNumberFormat="1" applyFont="1" applyFill="1" applyBorder="1" applyAlignment="1">
      <alignment horizontal="center" vertical="center" wrapText="1"/>
    </xf>
    <xf numFmtId="3" fontId="8" fillId="20" borderId="155" xfId="0" applyNumberFormat="1" applyFont="1" applyFill="1" applyBorder="1" applyAlignment="1">
      <alignment horizontal="right"/>
    </xf>
    <xf numFmtId="3" fontId="5" fillId="22" borderId="135" xfId="58" applyNumberFormat="1" applyFont="1" applyFill="1" applyBorder="1" applyAlignment="1">
      <alignment horizontal="right" wrapText="1"/>
      <protection/>
    </xf>
    <xf numFmtId="3" fontId="5" fillId="22" borderId="135" xfId="58" applyNumberFormat="1" applyFont="1" applyFill="1" applyBorder="1" applyAlignment="1">
      <alignment horizontal="right"/>
      <protection/>
    </xf>
    <xf numFmtId="3" fontId="5" fillId="22" borderId="135" xfId="57" applyNumberFormat="1" applyFont="1" applyFill="1" applyBorder="1" applyAlignment="1">
      <alignment horizontal="right" wrapText="1"/>
      <protection/>
    </xf>
    <xf numFmtId="3" fontId="5" fillId="22" borderId="135" xfId="57" applyNumberFormat="1" applyFont="1" applyFill="1" applyBorder="1" applyAlignment="1">
      <alignment wrapText="1"/>
      <protection/>
    </xf>
    <xf numFmtId="3" fontId="5" fillId="22" borderId="135" xfId="0" applyNumberFormat="1" applyFont="1" applyFill="1" applyBorder="1" applyAlignment="1">
      <alignment wrapText="1"/>
    </xf>
    <xf numFmtId="3" fontId="9" fillId="4" borderId="143" xfId="0" applyNumberFormat="1" applyFont="1" applyFill="1" applyBorder="1" applyAlignment="1">
      <alignment/>
    </xf>
    <xf numFmtId="3" fontId="5" fillId="22" borderId="159" xfId="0" applyNumberFormat="1" applyFont="1" applyFill="1" applyBorder="1" applyAlignment="1">
      <alignment/>
    </xf>
    <xf numFmtId="3" fontId="9" fillId="4" borderId="14" xfId="0" applyNumberFormat="1" applyFont="1" applyFill="1" applyBorder="1" applyAlignment="1">
      <alignment/>
    </xf>
    <xf numFmtId="3" fontId="9" fillId="0" borderId="160" xfId="0" applyNumberFormat="1" applyFont="1" applyFill="1" applyBorder="1" applyAlignment="1">
      <alignment horizontal="center" vertical="center" wrapText="1"/>
    </xf>
    <xf numFmtId="3" fontId="5" fillId="0" borderId="161" xfId="0" applyNumberFormat="1" applyFont="1" applyFill="1" applyBorder="1" applyAlignment="1">
      <alignment horizontal="center" vertical="center"/>
    </xf>
    <xf numFmtId="3" fontId="30" fillId="0" borderId="162" xfId="0" applyNumberFormat="1" applyFont="1" applyFill="1" applyBorder="1" applyAlignment="1">
      <alignment horizontal="right"/>
    </xf>
    <xf numFmtId="3" fontId="31" fillId="0" borderId="163" xfId="0" applyNumberFormat="1" applyFont="1" applyFill="1" applyBorder="1" applyAlignment="1">
      <alignment horizontal="right"/>
    </xf>
    <xf numFmtId="3" fontId="31" fillId="0" borderId="161" xfId="0" applyNumberFormat="1" applyFont="1" applyFill="1" applyBorder="1" applyAlignment="1">
      <alignment horizontal="right"/>
    </xf>
    <xf numFmtId="3" fontId="9" fillId="0" borderId="146" xfId="0" applyNumberFormat="1" applyFont="1" applyFill="1" applyBorder="1" applyAlignment="1">
      <alignment horizontal="center" vertical="center" wrapText="1"/>
    </xf>
    <xf numFmtId="3" fontId="5" fillId="0" borderId="76" xfId="0" applyNumberFormat="1" applyFont="1" applyFill="1" applyBorder="1" applyAlignment="1">
      <alignment horizontal="center" vertical="center"/>
    </xf>
    <xf numFmtId="3" fontId="30" fillId="22" borderId="28" xfId="0" applyNumberFormat="1" applyFont="1" applyFill="1" applyBorder="1" applyAlignment="1">
      <alignment horizontal="right"/>
    </xf>
    <xf numFmtId="3" fontId="30" fillId="0" borderId="164" xfId="0" applyNumberFormat="1" applyFont="1" applyFill="1" applyBorder="1" applyAlignment="1">
      <alignment horizontal="right"/>
    </xf>
    <xf numFmtId="3" fontId="31" fillId="22" borderId="14" xfId="0" applyNumberFormat="1" applyFont="1" applyFill="1" applyBorder="1" applyAlignment="1">
      <alignment horizontal="right"/>
    </xf>
    <xf numFmtId="3" fontId="31" fillId="0" borderId="150" xfId="0" applyNumberFormat="1" applyFont="1" applyFill="1" applyBorder="1" applyAlignment="1">
      <alignment horizontal="right"/>
    </xf>
    <xf numFmtId="3" fontId="31" fillId="22" borderId="151" xfId="0" applyNumberFormat="1" applyFont="1" applyFill="1" applyBorder="1" applyAlignment="1">
      <alignment horizontal="right"/>
    </xf>
    <xf numFmtId="3" fontId="31" fillId="0" borderId="75" xfId="0" applyNumberFormat="1" applyFont="1" applyFill="1" applyBorder="1" applyAlignment="1">
      <alignment horizontal="right"/>
    </xf>
    <xf numFmtId="3" fontId="31" fillId="0" borderId="152" xfId="0" applyNumberFormat="1" applyFont="1" applyFill="1" applyBorder="1" applyAlignment="1">
      <alignment horizontal="right"/>
    </xf>
    <xf numFmtId="3" fontId="9" fillId="0" borderId="156" xfId="0" applyNumberFormat="1" applyFont="1" applyFill="1" applyBorder="1" applyAlignment="1">
      <alignment horizontal="center" vertical="center" wrapText="1"/>
    </xf>
    <xf numFmtId="3" fontId="5" fillId="0" borderId="78" xfId="0" applyNumberFormat="1" applyFont="1" applyFill="1" applyBorder="1" applyAlignment="1">
      <alignment horizontal="center" vertical="center"/>
    </xf>
    <xf numFmtId="3" fontId="30" fillId="0" borderId="80" xfId="0" applyNumberFormat="1" applyFont="1" applyFill="1" applyBorder="1" applyAlignment="1">
      <alignment horizontal="right"/>
    </xf>
    <xf numFmtId="3" fontId="31" fillId="0" borderId="83" xfId="0" applyNumberFormat="1" applyFont="1" applyFill="1" applyBorder="1" applyAlignment="1">
      <alignment horizontal="right"/>
    </xf>
    <xf numFmtId="3" fontId="31" fillId="0" borderId="78" xfId="0" applyNumberFormat="1" applyFont="1" applyFill="1" applyBorder="1" applyAlignment="1">
      <alignment horizontal="right"/>
    </xf>
    <xf numFmtId="3" fontId="5" fillId="25" borderId="106" xfId="0" applyNumberFormat="1" applyFont="1" applyFill="1" applyBorder="1" applyAlignment="1">
      <alignment/>
    </xf>
    <xf numFmtId="3" fontId="9" fillId="4" borderId="143" xfId="58" applyNumberFormat="1" applyFont="1" applyFill="1" applyBorder="1" applyAlignment="1">
      <alignment horizontal="right"/>
      <protection/>
    </xf>
    <xf numFmtId="3" fontId="5" fillId="22" borderId="144" xfId="0" applyNumberFormat="1" applyFont="1" applyFill="1" applyBorder="1" applyAlignment="1">
      <alignment horizontal="right"/>
    </xf>
    <xf numFmtId="3" fontId="5" fillId="22" borderId="165" xfId="56" applyNumberFormat="1" applyFont="1" applyFill="1" applyBorder="1">
      <alignment/>
      <protection/>
    </xf>
    <xf numFmtId="3" fontId="6" fillId="22" borderId="135" xfId="0" applyNumberFormat="1" applyFont="1" applyFill="1" applyBorder="1" applyAlignment="1">
      <alignment/>
    </xf>
    <xf numFmtId="3" fontId="5" fillId="22" borderId="135" xfId="56" applyNumberFormat="1" applyFont="1" applyFill="1" applyBorder="1">
      <alignment/>
      <protection/>
    </xf>
    <xf numFmtId="3" fontId="5" fillId="22" borderId="101" xfId="0" applyNumberFormat="1" applyFont="1" applyFill="1" applyBorder="1" applyAlignment="1">
      <alignment horizontal="right"/>
    </xf>
    <xf numFmtId="3" fontId="5" fillId="0" borderId="90" xfId="0" applyNumberFormat="1" applyFont="1" applyFill="1" applyBorder="1" applyAlignment="1">
      <alignment horizontal="right"/>
    </xf>
    <xf numFmtId="3" fontId="5" fillId="0" borderId="100" xfId="0" applyNumberFormat="1" applyFont="1" applyFill="1" applyBorder="1" applyAlignment="1">
      <alignment horizontal="right"/>
    </xf>
    <xf numFmtId="3" fontId="5" fillId="22" borderId="104" xfId="56" applyNumberFormat="1" applyFont="1" applyFill="1" applyBorder="1">
      <alignment/>
      <protection/>
    </xf>
    <xf numFmtId="3" fontId="6" fillId="22" borderId="30" xfId="0" applyNumberFormat="1" applyFont="1" applyFill="1" applyBorder="1" applyAlignment="1">
      <alignment/>
    </xf>
    <xf numFmtId="3" fontId="5" fillId="22" borderId="30" xfId="56" applyNumberFormat="1" applyFont="1" applyFill="1" applyBorder="1">
      <alignment/>
      <protection/>
    </xf>
    <xf numFmtId="49" fontId="18" fillId="22" borderId="166" xfId="0" applyNumberFormat="1" applyFont="1" applyFill="1" applyBorder="1" applyAlignment="1">
      <alignment horizontal="center" vertical="center" wrapText="1"/>
    </xf>
    <xf numFmtId="3" fontId="5" fillId="0" borderId="142" xfId="0" applyNumberFormat="1" applyFont="1" applyFill="1" applyBorder="1" applyAlignment="1">
      <alignment horizontal="center" vertical="center" wrapText="1"/>
    </xf>
    <xf numFmtId="3" fontId="5" fillId="24" borderId="106" xfId="0" applyNumberFormat="1" applyFont="1" applyFill="1" applyBorder="1" applyAlignment="1">
      <alignment/>
    </xf>
    <xf numFmtId="3" fontId="5" fillId="24" borderId="117" xfId="0" applyNumberFormat="1" applyFont="1" applyFill="1" applyBorder="1" applyAlignment="1">
      <alignment/>
    </xf>
    <xf numFmtId="3" fontId="5" fillId="24" borderId="100" xfId="57" applyNumberFormat="1" applyFont="1" applyFill="1" applyBorder="1" applyAlignment="1">
      <alignment horizontal="right"/>
      <protection/>
    </xf>
    <xf numFmtId="3" fontId="5" fillId="0" borderId="125" xfId="0" applyNumberFormat="1" applyFont="1" applyFill="1" applyBorder="1" applyAlignment="1">
      <alignment/>
    </xf>
    <xf numFmtId="3" fontId="5" fillId="24" borderId="90" xfId="0" applyNumberFormat="1" applyFont="1" applyFill="1" applyBorder="1" applyAlignment="1">
      <alignment/>
    </xf>
    <xf numFmtId="3" fontId="5" fillId="24" borderId="116" xfId="0" applyNumberFormat="1" applyFont="1" applyFill="1" applyBorder="1" applyAlignment="1">
      <alignment/>
    </xf>
    <xf numFmtId="3" fontId="5" fillId="24" borderId="90" xfId="57" applyNumberFormat="1" applyFont="1" applyFill="1" applyBorder="1" applyAlignment="1">
      <alignment horizontal="right"/>
      <protection/>
    </xf>
    <xf numFmtId="0" fontId="5" fillId="0" borderId="95" xfId="0" applyFont="1" applyFill="1" applyBorder="1" applyAlignment="1">
      <alignment/>
    </xf>
    <xf numFmtId="3" fontId="8" fillId="20" borderId="80" xfId="58" applyNumberFormat="1" applyFont="1" applyFill="1" applyBorder="1" applyAlignment="1">
      <alignment horizontal="right"/>
      <protection/>
    </xf>
    <xf numFmtId="49" fontId="18" fillId="22" borderId="145" xfId="0" applyNumberFormat="1" applyFont="1" applyFill="1" applyBorder="1" applyAlignment="1">
      <alignment horizontal="center" vertical="center" wrapText="1"/>
    </xf>
    <xf numFmtId="3" fontId="5" fillId="22" borderId="101" xfId="56" applyNumberFormat="1" applyFont="1" applyFill="1" applyBorder="1">
      <alignment/>
      <protection/>
    </xf>
    <xf numFmtId="3" fontId="5" fillId="22" borderId="167" xfId="56" applyNumberFormat="1" applyFont="1" applyFill="1" applyBorder="1">
      <alignment/>
      <protection/>
    </xf>
    <xf numFmtId="3" fontId="30" fillId="0" borderId="155" xfId="0" applyNumberFormat="1" applyFont="1" applyFill="1" applyBorder="1" applyAlignment="1">
      <alignment horizontal="right"/>
    </xf>
    <xf numFmtId="3" fontId="31" fillId="0" borderId="143" xfId="0" applyNumberFormat="1" applyFont="1" applyFill="1" applyBorder="1" applyAlignment="1">
      <alignment horizontal="right"/>
    </xf>
    <xf numFmtId="3" fontId="31" fillId="0" borderId="142" xfId="0" applyNumberFormat="1" applyFont="1" applyFill="1" applyBorder="1" applyAlignment="1">
      <alignment horizontal="right"/>
    </xf>
    <xf numFmtId="14" fontId="9" fillId="4" borderId="41" xfId="58" applyNumberFormat="1" applyFont="1" applyFill="1" applyBorder="1" applyAlignment="1">
      <alignment horizontal="left"/>
      <protection/>
    </xf>
    <xf numFmtId="14" fontId="9" fillId="4" borderId="138" xfId="58" applyNumberFormat="1" applyFont="1" applyFill="1" applyBorder="1" applyAlignment="1">
      <alignment horizontal="left"/>
      <protection/>
    </xf>
    <xf numFmtId="3" fontId="9" fillId="4" borderId="40" xfId="0" applyNumberFormat="1" applyFont="1" applyFill="1" applyBorder="1" applyAlignment="1">
      <alignment horizontal="right"/>
    </xf>
    <xf numFmtId="0" fontId="9" fillId="0" borderId="46" xfId="58" applyFont="1" applyFill="1" applyBorder="1" applyAlignment="1">
      <alignment horizontal="left"/>
      <protection/>
    </xf>
    <xf numFmtId="3" fontId="9" fillId="4" borderId="14" xfId="58" applyNumberFormat="1" applyFont="1" applyFill="1" applyBorder="1" applyAlignment="1">
      <alignment/>
      <protection/>
    </xf>
    <xf numFmtId="3" fontId="5" fillId="0" borderId="20" xfId="58" applyNumberFormat="1" applyFont="1" applyFill="1" applyBorder="1" applyAlignment="1">
      <alignment/>
      <protection/>
    </xf>
    <xf numFmtId="3" fontId="9" fillId="23" borderId="14" xfId="58" applyNumberFormat="1" applyFont="1" applyFill="1" applyBorder="1" applyAlignment="1">
      <alignment/>
      <protection/>
    </xf>
    <xf numFmtId="3" fontId="6" fillId="0" borderId="20" xfId="56" applyNumberFormat="1" applyFont="1" applyFill="1" applyBorder="1" applyAlignment="1">
      <alignment/>
      <protection/>
    </xf>
    <xf numFmtId="3" fontId="9" fillId="4" borderId="143" xfId="58" applyNumberFormat="1" applyFont="1" applyFill="1" applyBorder="1" applyAlignment="1">
      <alignment/>
      <protection/>
    </xf>
    <xf numFmtId="3" fontId="9" fillId="22" borderId="143" xfId="58" applyNumberFormat="1" applyFont="1" applyFill="1" applyBorder="1" applyAlignment="1">
      <alignment/>
      <protection/>
    </xf>
    <xf numFmtId="3" fontId="5" fillId="22" borderId="144" xfId="56" applyNumberFormat="1" applyFont="1" applyFill="1" applyBorder="1">
      <alignment/>
      <protection/>
    </xf>
    <xf numFmtId="3" fontId="5" fillId="22" borderId="168" xfId="0" applyNumberFormat="1" applyFont="1" applyFill="1" applyBorder="1" applyAlignment="1">
      <alignment/>
    </xf>
    <xf numFmtId="3" fontId="5" fillId="22" borderId="135" xfId="58" applyNumberFormat="1" applyFont="1" applyFill="1" applyBorder="1" applyAlignment="1">
      <alignment/>
      <protection/>
    </xf>
    <xf numFmtId="3" fontId="9" fillId="4" borderId="83" xfId="58" applyNumberFormat="1" applyFont="1" applyFill="1" applyBorder="1" applyAlignment="1">
      <alignment/>
      <protection/>
    </xf>
    <xf numFmtId="3" fontId="9" fillId="4" borderId="82" xfId="58" applyNumberFormat="1" applyFont="1" applyFill="1" applyBorder="1" applyAlignment="1">
      <alignment/>
      <protection/>
    </xf>
    <xf numFmtId="3" fontId="5" fillId="22" borderId="169" xfId="0" applyNumberFormat="1" applyFont="1" applyFill="1" applyBorder="1" applyAlignment="1">
      <alignment/>
    </xf>
    <xf numFmtId="3" fontId="5" fillId="22" borderId="30" xfId="58" applyNumberFormat="1" applyFont="1" applyFill="1" applyBorder="1" applyAlignment="1">
      <alignment/>
      <protection/>
    </xf>
    <xf numFmtId="3" fontId="5" fillId="0" borderId="86" xfId="58" applyNumberFormat="1" applyFont="1" applyFill="1" applyBorder="1" applyAlignment="1">
      <alignment/>
      <protection/>
    </xf>
    <xf numFmtId="3" fontId="9" fillId="22" borderId="83" xfId="58" applyNumberFormat="1" applyFont="1" applyFill="1" applyBorder="1" applyAlignment="1">
      <alignment/>
      <protection/>
    </xf>
    <xf numFmtId="3" fontId="9" fillId="23" borderId="82" xfId="58" applyNumberFormat="1" applyFont="1" applyFill="1" applyBorder="1" applyAlignment="1">
      <alignment/>
      <protection/>
    </xf>
    <xf numFmtId="3" fontId="8" fillId="20" borderId="170" xfId="0" applyNumberFormat="1" applyFont="1" applyFill="1" applyBorder="1" applyAlignment="1">
      <alignment horizontal="right"/>
    </xf>
    <xf numFmtId="3" fontId="9" fillId="4" borderId="171" xfId="0" applyNumberFormat="1" applyFont="1" applyFill="1" applyBorder="1" applyAlignment="1">
      <alignment horizontal="right"/>
    </xf>
    <xf numFmtId="3" fontId="9" fillId="4" borderId="171" xfId="0" applyNumberFormat="1" applyFont="1" applyFill="1" applyBorder="1" applyAlignment="1">
      <alignment/>
    </xf>
    <xf numFmtId="3" fontId="5" fillId="22" borderId="165" xfId="0" applyNumberFormat="1" applyFont="1" applyFill="1" applyBorder="1" applyAlignment="1">
      <alignment/>
    </xf>
    <xf numFmtId="3" fontId="5" fillId="22" borderId="172" xfId="0" applyNumberFormat="1" applyFont="1" applyFill="1" applyBorder="1" applyAlignment="1">
      <alignment/>
    </xf>
    <xf numFmtId="3" fontId="5" fillId="22" borderId="165" xfId="56" applyNumberFormat="1" applyFont="1" applyFill="1" applyBorder="1" applyAlignment="1">
      <alignment/>
      <protection/>
    </xf>
    <xf numFmtId="3" fontId="22" fillId="22" borderId="135" xfId="0" applyNumberFormat="1" applyFont="1" applyFill="1" applyBorder="1" applyAlignment="1">
      <alignment/>
    </xf>
    <xf numFmtId="3" fontId="5" fillId="22" borderId="135" xfId="56" applyNumberFormat="1" applyFont="1" applyFill="1" applyBorder="1" applyAlignment="1">
      <alignment/>
      <protection/>
    </xf>
    <xf numFmtId="3" fontId="5" fillId="22" borderId="135" xfId="0" applyNumberFormat="1" applyFont="1" applyFill="1" applyBorder="1" applyAlignment="1">
      <alignment/>
    </xf>
    <xf numFmtId="3" fontId="5" fillId="22" borderId="0" xfId="0" applyNumberFormat="1" applyFont="1" applyFill="1" applyBorder="1" applyAlignment="1">
      <alignment/>
    </xf>
    <xf numFmtId="3" fontId="5" fillId="22" borderId="135" xfId="56" applyNumberFormat="1" applyFont="1" applyFill="1" applyBorder="1" applyAlignment="1">
      <alignment horizontal="right"/>
      <protection/>
    </xf>
    <xf numFmtId="3" fontId="8" fillId="20" borderId="173" xfId="0" applyNumberFormat="1" applyFont="1" applyFill="1" applyBorder="1" applyAlignment="1">
      <alignment horizontal="right"/>
    </xf>
    <xf numFmtId="3" fontId="8" fillId="20" borderId="174" xfId="0" applyNumberFormat="1" applyFont="1" applyFill="1" applyBorder="1" applyAlignment="1">
      <alignment horizontal="right"/>
    </xf>
    <xf numFmtId="3" fontId="8" fillId="20" borderId="175" xfId="0" applyNumberFormat="1" applyFont="1" applyFill="1" applyBorder="1" applyAlignment="1">
      <alignment horizontal="right"/>
    </xf>
    <xf numFmtId="3" fontId="9" fillId="23" borderId="176" xfId="0" applyNumberFormat="1" applyFont="1" applyFill="1" applyBorder="1" applyAlignment="1">
      <alignment horizontal="right"/>
    </xf>
    <xf numFmtId="3" fontId="9" fillId="4" borderId="177" xfId="0" applyNumberFormat="1" applyFont="1" applyFill="1" applyBorder="1" applyAlignment="1">
      <alignment horizontal="right"/>
    </xf>
    <xf numFmtId="3" fontId="9" fillId="4" borderId="31" xfId="0" applyNumberFormat="1" applyFont="1" applyFill="1" applyBorder="1" applyAlignment="1">
      <alignment horizontal="right"/>
    </xf>
    <xf numFmtId="3" fontId="9" fillId="4" borderId="176" xfId="0" applyNumberFormat="1" applyFont="1" applyFill="1" applyBorder="1" applyAlignment="1">
      <alignment horizontal="right"/>
    </xf>
    <xf numFmtId="3" fontId="5" fillId="22" borderId="104" xfId="0" applyNumberFormat="1" applyFont="1" applyFill="1" applyBorder="1" applyAlignment="1">
      <alignment/>
    </xf>
    <xf numFmtId="3" fontId="5" fillId="0" borderId="84" xfId="0" applyNumberFormat="1" applyFont="1" applyBorder="1" applyAlignment="1">
      <alignment/>
    </xf>
    <xf numFmtId="3" fontId="5" fillId="0" borderId="115" xfId="0" applyNumberFormat="1" applyFont="1" applyBorder="1" applyAlignment="1">
      <alignment/>
    </xf>
    <xf numFmtId="3" fontId="5" fillId="22" borderId="104" xfId="56" applyNumberFormat="1" applyFont="1" applyFill="1" applyBorder="1" applyAlignment="1">
      <alignment/>
      <protection/>
    </xf>
    <xf numFmtId="3" fontId="5" fillId="0" borderId="84" xfId="56" applyNumberFormat="1" applyFont="1" applyFill="1" applyBorder="1" applyAlignment="1">
      <alignment/>
      <protection/>
    </xf>
    <xf numFmtId="3" fontId="5" fillId="0" borderId="115" xfId="56" applyNumberFormat="1" applyFont="1" applyFill="1" applyBorder="1" applyAlignment="1">
      <alignment/>
      <protection/>
    </xf>
    <xf numFmtId="3" fontId="22" fillId="22" borderId="30" xfId="0" applyNumberFormat="1" applyFont="1" applyFill="1" applyBorder="1" applyAlignment="1">
      <alignment/>
    </xf>
    <xf numFmtId="3" fontId="22" fillId="0" borderId="86" xfId="0" applyNumberFormat="1" applyFont="1" applyFill="1" applyBorder="1" applyAlignment="1">
      <alignment/>
    </xf>
    <xf numFmtId="3" fontId="22" fillId="0" borderId="106" xfId="0" applyNumberFormat="1" applyFont="1" applyFill="1" applyBorder="1" applyAlignment="1">
      <alignment/>
    </xf>
    <xf numFmtId="3" fontId="5" fillId="22" borderId="30" xfId="56" applyNumberFormat="1" applyFont="1" applyFill="1" applyBorder="1" applyAlignment="1">
      <alignment/>
      <protection/>
    </xf>
    <xf numFmtId="3" fontId="5" fillId="0" borderId="106" xfId="56" applyNumberFormat="1" applyFont="1" applyFill="1" applyBorder="1" applyAlignment="1">
      <alignment/>
      <protection/>
    </xf>
    <xf numFmtId="3" fontId="5" fillId="0" borderId="86" xfId="0" applyNumberFormat="1" applyFont="1" applyBorder="1" applyAlignment="1">
      <alignment/>
    </xf>
    <xf numFmtId="3" fontId="5" fillId="0" borderId="106" xfId="0" applyNumberFormat="1" applyFont="1" applyBorder="1" applyAlignment="1">
      <alignment/>
    </xf>
    <xf numFmtId="3" fontId="5" fillId="22" borderId="123" xfId="0" applyNumberFormat="1" applyFont="1" applyFill="1" applyBorder="1" applyAlignment="1">
      <alignment/>
    </xf>
    <xf numFmtId="3" fontId="5" fillId="0" borderId="116" xfId="0" applyNumberFormat="1" applyFont="1" applyFill="1" applyBorder="1" applyAlignment="1">
      <alignment/>
    </xf>
    <xf numFmtId="3" fontId="5" fillId="0" borderId="117" xfId="0" applyNumberFormat="1" applyFont="1" applyFill="1" applyBorder="1" applyAlignment="1">
      <alignment/>
    </xf>
    <xf numFmtId="3" fontId="9" fillId="4" borderId="177" xfId="0" applyNumberFormat="1" applyFont="1" applyFill="1" applyBorder="1" applyAlignment="1">
      <alignment/>
    </xf>
    <xf numFmtId="3" fontId="9" fillId="4" borderId="31" xfId="0" applyNumberFormat="1" applyFont="1" applyFill="1" applyBorder="1" applyAlignment="1">
      <alignment/>
    </xf>
    <xf numFmtId="3" fontId="9" fillId="4" borderId="176" xfId="0" applyNumberFormat="1" applyFont="1" applyFill="1" applyBorder="1" applyAlignment="1">
      <alignment/>
    </xf>
    <xf numFmtId="3" fontId="5" fillId="22" borderId="30" xfId="56" applyNumberFormat="1" applyFont="1" applyFill="1" applyBorder="1" applyAlignment="1">
      <alignment horizontal="right"/>
      <protection/>
    </xf>
    <xf numFmtId="3" fontId="5" fillId="0" borderId="86" xfId="56" applyNumberFormat="1" applyFont="1" applyFill="1" applyBorder="1" applyAlignment="1">
      <alignment horizontal="right"/>
      <protection/>
    </xf>
    <xf numFmtId="3" fontId="5" fillId="0" borderId="106" xfId="56" applyNumberFormat="1" applyFont="1" applyFill="1" applyBorder="1" applyAlignment="1">
      <alignment horizontal="right"/>
      <protection/>
    </xf>
    <xf numFmtId="3" fontId="5" fillId="24" borderId="79" xfId="0" applyNumberFormat="1" applyFont="1" applyFill="1" applyBorder="1" applyAlignment="1">
      <alignment horizontal="center" vertical="center" wrapText="1"/>
    </xf>
    <xf numFmtId="3" fontId="8" fillId="20" borderId="178" xfId="0" applyNumberFormat="1" applyFont="1" applyFill="1" applyBorder="1" applyAlignment="1">
      <alignment horizontal="right"/>
    </xf>
    <xf numFmtId="3" fontId="5" fillId="0" borderId="179" xfId="0" applyNumberFormat="1" applyFont="1" applyFill="1" applyBorder="1" applyAlignment="1">
      <alignment/>
    </xf>
    <xf numFmtId="3" fontId="5" fillId="0" borderId="180" xfId="0" applyNumberFormat="1" applyFont="1" applyFill="1" applyBorder="1" applyAlignment="1">
      <alignment/>
    </xf>
    <xf numFmtId="3" fontId="8" fillId="20" borderId="181" xfId="0" applyNumberFormat="1" applyFont="1" applyFill="1" applyBorder="1" applyAlignment="1">
      <alignment horizontal="right"/>
    </xf>
    <xf numFmtId="3" fontId="22" fillId="22" borderId="123" xfId="0" applyNumberFormat="1" applyFont="1" applyFill="1" applyBorder="1" applyAlignment="1">
      <alignment horizontal="right"/>
    </xf>
    <xf numFmtId="3" fontId="22" fillId="4" borderId="116" xfId="0" applyNumberFormat="1" applyFont="1" applyFill="1" applyBorder="1" applyAlignment="1">
      <alignment horizontal="right"/>
    </xf>
    <xf numFmtId="3" fontId="22" fillId="4" borderId="117" xfId="0" applyNumberFormat="1" applyFont="1" applyFill="1" applyBorder="1" applyAlignment="1">
      <alignment horizontal="right"/>
    </xf>
    <xf numFmtId="3" fontId="5" fillId="22" borderId="30" xfId="59" applyNumberFormat="1" applyFont="1" applyFill="1" applyBorder="1" applyAlignment="1">
      <alignment horizontal="right"/>
      <protection/>
    </xf>
    <xf numFmtId="3" fontId="22" fillId="22" borderId="30" xfId="59" applyNumberFormat="1" applyFont="1" applyFill="1" applyBorder="1" applyAlignment="1">
      <alignment horizontal="right"/>
      <protection/>
    </xf>
    <xf numFmtId="3" fontId="22" fillId="0" borderId="86" xfId="59" applyNumberFormat="1" applyFont="1" applyFill="1" applyBorder="1" applyAlignment="1">
      <alignment horizontal="right"/>
      <protection/>
    </xf>
    <xf numFmtId="3" fontId="22" fillId="0" borderId="106" xfId="59" applyNumberFormat="1" applyFont="1" applyFill="1" applyBorder="1" applyAlignment="1">
      <alignment horizontal="right"/>
      <protection/>
    </xf>
    <xf numFmtId="3" fontId="5" fillId="22" borderId="30" xfId="0" applyNumberFormat="1" applyFont="1" applyFill="1" applyBorder="1" applyAlignment="1">
      <alignment horizontal="right"/>
    </xf>
    <xf numFmtId="3" fontId="5" fillId="22" borderId="182" xfId="0" applyNumberFormat="1" applyFont="1" applyFill="1" applyBorder="1" applyAlignment="1">
      <alignment/>
    </xf>
    <xf numFmtId="3" fontId="5" fillId="22" borderId="167" xfId="0" applyNumberFormat="1" applyFont="1" applyFill="1" applyBorder="1" applyAlignment="1">
      <alignment/>
    </xf>
    <xf numFmtId="3" fontId="8" fillId="20" borderId="183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5" fillId="22" borderId="184" xfId="0" applyNumberFormat="1" applyFont="1" applyFill="1" applyBorder="1" applyAlignment="1">
      <alignment/>
    </xf>
    <xf numFmtId="3" fontId="8" fillId="20" borderId="164" xfId="0" applyNumberFormat="1" applyFont="1" applyFill="1" applyBorder="1" applyAlignment="1">
      <alignment horizontal="right"/>
    </xf>
    <xf numFmtId="3" fontId="5" fillId="22" borderId="20" xfId="58" applyNumberFormat="1" applyFont="1" applyFill="1" applyBorder="1" applyAlignment="1">
      <alignment horizontal="right"/>
      <protection/>
    </xf>
    <xf numFmtId="3" fontId="5" fillId="22" borderId="21" xfId="0" applyNumberFormat="1" applyFont="1" applyFill="1" applyBorder="1" applyAlignment="1">
      <alignment/>
    </xf>
    <xf numFmtId="3" fontId="5" fillId="0" borderId="64" xfId="56" applyNumberFormat="1" applyFont="1" applyFill="1" applyBorder="1" applyAlignment="1">
      <alignment/>
      <protection/>
    </xf>
    <xf numFmtId="3" fontId="5" fillId="0" borderId="57" xfId="59" applyNumberFormat="1" applyFont="1" applyFill="1" applyBorder="1" applyAlignment="1">
      <alignment/>
      <protection/>
    </xf>
    <xf numFmtId="3" fontId="9" fillId="4" borderId="150" xfId="0" applyNumberFormat="1" applyFont="1" applyFill="1" applyBorder="1" applyAlignment="1">
      <alignment/>
    </xf>
    <xf numFmtId="3" fontId="5" fillId="0" borderId="64" xfId="59" applyNumberFormat="1" applyFont="1" applyFill="1" applyBorder="1" applyAlignment="1">
      <alignment horizontal="right"/>
      <protection/>
    </xf>
    <xf numFmtId="3" fontId="5" fillId="22" borderId="25" xfId="56" applyNumberFormat="1" applyFont="1" applyFill="1" applyBorder="1" applyAlignment="1">
      <alignment/>
      <protection/>
    </xf>
    <xf numFmtId="3" fontId="5" fillId="22" borderId="20" xfId="62" applyNumberFormat="1" applyFont="1" applyFill="1" applyBorder="1" applyAlignment="1">
      <alignment horizontal="right"/>
      <protection/>
    </xf>
    <xf numFmtId="3" fontId="5" fillId="22" borderId="20" xfId="59" applyNumberFormat="1" applyFont="1" applyFill="1" applyBorder="1" applyAlignment="1">
      <alignment/>
      <protection/>
    </xf>
    <xf numFmtId="3" fontId="5" fillId="22" borderId="25" xfId="59" applyNumberFormat="1" applyFont="1" applyFill="1" applyBorder="1" applyAlignment="1">
      <alignment horizontal="right"/>
      <protection/>
    </xf>
    <xf numFmtId="3" fontId="5" fillId="0" borderId="23" xfId="59" applyNumberFormat="1" applyFont="1" applyFill="1" applyBorder="1" applyAlignment="1">
      <alignment horizontal="right"/>
      <protection/>
    </xf>
    <xf numFmtId="3" fontId="5" fillId="22" borderId="70" xfId="0" applyNumberFormat="1" applyFont="1" applyFill="1" applyBorder="1" applyAlignment="1">
      <alignment horizontal="right" wrapText="1"/>
    </xf>
    <xf numFmtId="3" fontId="5" fillId="22" borderId="144" xfId="56" applyNumberFormat="1" applyFont="1" applyFill="1" applyBorder="1" applyAlignment="1">
      <alignment/>
      <protection/>
    </xf>
    <xf numFmtId="3" fontId="5" fillId="22" borderId="135" xfId="62" applyNumberFormat="1" applyFont="1" applyFill="1" applyBorder="1" applyAlignment="1">
      <alignment horizontal="right"/>
      <protection/>
    </xf>
    <xf numFmtId="3" fontId="5" fillId="22" borderId="135" xfId="63" applyNumberFormat="1" applyFont="1" applyFill="1" applyBorder="1" applyAlignment="1">
      <alignment horizontal="right"/>
      <protection/>
    </xf>
    <xf numFmtId="3" fontId="5" fillId="22" borderId="135" xfId="59" applyNumberFormat="1" applyFont="1" applyFill="1" applyBorder="1" applyAlignment="1">
      <alignment/>
      <protection/>
    </xf>
    <xf numFmtId="3" fontId="5" fillId="22" borderId="144" xfId="59" applyNumberFormat="1" applyFont="1" applyFill="1" applyBorder="1" applyAlignment="1">
      <alignment horizontal="right"/>
      <protection/>
    </xf>
    <xf numFmtId="3" fontId="5" fillId="22" borderId="184" xfId="0" applyNumberFormat="1" applyFont="1" applyFill="1" applyBorder="1" applyAlignment="1">
      <alignment horizontal="right" wrapText="1"/>
    </xf>
    <xf numFmtId="3" fontId="5" fillId="0" borderId="10" xfId="59" applyNumberFormat="1" applyFont="1" applyFill="1" applyBorder="1" applyAlignment="1">
      <alignment/>
      <protection/>
    </xf>
    <xf numFmtId="3" fontId="5" fillId="0" borderId="68" xfId="0" applyNumberFormat="1" applyFont="1" applyFill="1" applyBorder="1" applyAlignment="1">
      <alignment/>
    </xf>
    <xf numFmtId="3" fontId="5" fillId="22" borderId="184" xfId="0" applyNumberFormat="1" applyFont="1" applyFill="1" applyBorder="1" applyAlignment="1">
      <alignment/>
    </xf>
    <xf numFmtId="3" fontId="5" fillId="22" borderId="185" xfId="0" applyNumberFormat="1" applyFont="1" applyFill="1" applyBorder="1" applyAlignment="1">
      <alignment/>
    </xf>
    <xf numFmtId="3" fontId="5" fillId="22" borderId="70" xfId="0" applyNumberFormat="1" applyFont="1" applyFill="1" applyBorder="1" applyAlignment="1">
      <alignment/>
    </xf>
    <xf numFmtId="49" fontId="20" fillId="24" borderId="114" xfId="0" applyNumberFormat="1" applyFont="1" applyFill="1" applyBorder="1" applyAlignment="1">
      <alignment horizontal="center" vertical="center" wrapText="1"/>
    </xf>
    <xf numFmtId="49" fontId="34" fillId="2" borderId="114" xfId="0" applyNumberFormat="1" applyFont="1" applyFill="1" applyBorder="1" applyAlignment="1">
      <alignment horizontal="center" vertical="center" wrapText="1"/>
    </xf>
    <xf numFmtId="3" fontId="31" fillId="22" borderId="76" xfId="0" applyNumberFormat="1" applyFont="1" applyFill="1" applyBorder="1" applyAlignment="1">
      <alignment horizontal="right"/>
    </xf>
    <xf numFmtId="3" fontId="31" fillId="0" borderId="107" xfId="0" applyNumberFormat="1" applyFont="1" applyFill="1" applyBorder="1" applyAlignment="1">
      <alignment horizontal="right"/>
    </xf>
    <xf numFmtId="3" fontId="5" fillId="22" borderId="128" xfId="56" applyNumberFormat="1" applyFont="1" applyFill="1" applyBorder="1" applyAlignment="1">
      <alignment/>
      <protection/>
    </xf>
    <xf numFmtId="3" fontId="5" fillId="0" borderId="64" xfId="56" applyNumberFormat="1" applyFont="1" applyFill="1" applyBorder="1">
      <alignment/>
      <protection/>
    </xf>
    <xf numFmtId="3" fontId="5" fillId="22" borderId="70" xfId="56" applyNumberFormat="1" applyFont="1" applyFill="1" applyBorder="1" applyAlignment="1">
      <alignment/>
      <protection/>
    </xf>
    <xf numFmtId="3" fontId="5" fillId="0" borderId="68" xfId="56" applyNumberFormat="1" applyFont="1" applyFill="1" applyBorder="1" applyAlignment="1">
      <alignment/>
      <protection/>
    </xf>
    <xf numFmtId="0" fontId="5" fillId="0" borderId="98" xfId="0" applyFont="1" applyFill="1" applyBorder="1" applyAlignment="1">
      <alignment/>
    </xf>
    <xf numFmtId="3" fontId="5" fillId="0" borderId="97" xfId="0" applyNumberFormat="1" applyFont="1" applyFill="1" applyBorder="1" applyAlignment="1">
      <alignment/>
    </xf>
    <xf numFmtId="3" fontId="5" fillId="0" borderId="98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9" fillId="22" borderId="186" xfId="56" applyNumberFormat="1" applyFont="1" applyFill="1" applyBorder="1" applyAlignment="1">
      <alignment horizontal="right"/>
      <protection/>
    </xf>
    <xf numFmtId="3" fontId="9" fillId="23" borderId="187" xfId="56" applyNumberFormat="1" applyFont="1" applyFill="1" applyBorder="1" applyAlignment="1">
      <alignment horizontal="right"/>
      <protection/>
    </xf>
    <xf numFmtId="3" fontId="9" fillId="23" borderId="188" xfId="56" applyNumberFormat="1" applyFont="1" applyFill="1" applyBorder="1" applyAlignment="1">
      <alignment horizontal="right"/>
      <protection/>
    </xf>
    <xf numFmtId="3" fontId="5" fillId="0" borderId="86" xfId="61" applyNumberFormat="1" applyFont="1" applyFill="1" applyBorder="1" applyAlignment="1">
      <alignment horizontal="right"/>
      <protection/>
    </xf>
    <xf numFmtId="3" fontId="5" fillId="0" borderId="86" xfId="61" applyNumberFormat="1" applyFont="1" applyFill="1" applyBorder="1" applyAlignment="1">
      <alignment/>
      <protection/>
    </xf>
    <xf numFmtId="3" fontId="5" fillId="22" borderId="30" xfId="61" applyNumberFormat="1" applyFont="1" applyFill="1" applyBorder="1" applyAlignment="1">
      <alignment horizontal="right"/>
      <protection/>
    </xf>
    <xf numFmtId="3" fontId="5" fillId="0" borderId="189" xfId="0" applyNumberFormat="1" applyFont="1" applyFill="1" applyBorder="1" applyAlignment="1">
      <alignment horizontal="center" vertical="center" wrapText="1"/>
    </xf>
    <xf numFmtId="3" fontId="5" fillId="0" borderId="98" xfId="61" applyNumberFormat="1" applyFont="1" applyFill="1" applyBorder="1" applyAlignment="1">
      <alignment horizontal="left"/>
      <protection/>
    </xf>
    <xf numFmtId="3" fontId="5" fillId="0" borderId="190" xfId="56" applyNumberFormat="1" applyFont="1" applyFill="1" applyBorder="1" applyAlignment="1">
      <alignment horizontal="right"/>
      <protection/>
    </xf>
    <xf numFmtId="3" fontId="5" fillId="0" borderId="191" xfId="56" applyNumberFormat="1" applyFont="1" applyFill="1" applyBorder="1" applyAlignment="1">
      <alignment horizontal="right"/>
      <protection/>
    </xf>
    <xf numFmtId="3" fontId="5" fillId="0" borderId="192" xfId="0" applyNumberFormat="1" applyFont="1" applyFill="1" applyBorder="1" applyAlignment="1">
      <alignment/>
    </xf>
    <xf numFmtId="3" fontId="5" fillId="0" borderId="191" xfId="0" applyNumberFormat="1" applyFont="1" applyFill="1" applyBorder="1" applyAlignment="1">
      <alignment/>
    </xf>
    <xf numFmtId="3" fontId="5" fillId="0" borderId="190" xfId="0" applyNumberFormat="1" applyFont="1" applyFill="1" applyBorder="1" applyAlignment="1">
      <alignment/>
    </xf>
    <xf numFmtId="3" fontId="5" fillId="0" borderId="193" xfId="0" applyNumberFormat="1" applyFont="1" applyFill="1" applyBorder="1" applyAlignment="1">
      <alignment/>
    </xf>
    <xf numFmtId="3" fontId="5" fillId="0" borderId="194" xfId="0" applyNumberFormat="1" applyFont="1" applyFill="1" applyBorder="1" applyAlignment="1">
      <alignment/>
    </xf>
    <xf numFmtId="3" fontId="5" fillId="0" borderId="195" xfId="0" applyNumberFormat="1" applyFont="1" applyFill="1" applyBorder="1" applyAlignment="1">
      <alignment/>
    </xf>
    <xf numFmtId="3" fontId="5" fillId="0" borderId="196" xfId="0" applyNumberFormat="1" applyFont="1" applyFill="1" applyBorder="1" applyAlignment="1">
      <alignment/>
    </xf>
    <xf numFmtId="3" fontId="5" fillId="0" borderId="87" xfId="0" applyNumberFormat="1" applyFont="1" applyFill="1" applyBorder="1" applyAlignment="1">
      <alignment/>
    </xf>
    <xf numFmtId="3" fontId="5" fillId="0" borderId="64" xfId="61" applyNumberFormat="1" applyFont="1" applyFill="1" applyBorder="1" applyAlignment="1">
      <alignment horizontal="right"/>
      <protection/>
    </xf>
    <xf numFmtId="3" fontId="5" fillId="0" borderId="57" xfId="61" applyNumberFormat="1" applyFont="1" applyFill="1" applyBorder="1" applyAlignment="1">
      <alignment horizontal="right"/>
      <protection/>
    </xf>
    <xf numFmtId="3" fontId="5" fillId="22" borderId="25" xfId="61" applyNumberFormat="1" applyFont="1" applyFill="1" applyBorder="1" applyAlignment="1">
      <alignment horizontal="right"/>
      <protection/>
    </xf>
    <xf numFmtId="3" fontId="5" fillId="22" borderId="20" xfId="56" applyNumberFormat="1" applyFont="1" applyFill="1" applyBorder="1" applyAlignment="1">
      <alignment/>
      <protection/>
    </xf>
    <xf numFmtId="3" fontId="5" fillId="22" borderId="20" xfId="61" applyNumberFormat="1" applyFont="1" applyFill="1" applyBorder="1" applyAlignment="1">
      <alignment horizontal="right"/>
      <protection/>
    </xf>
    <xf numFmtId="3" fontId="5" fillId="0" borderId="18" xfId="56" applyNumberFormat="1" applyFont="1" applyFill="1" applyBorder="1">
      <alignment/>
      <protection/>
    </xf>
    <xf numFmtId="3" fontId="5" fillId="22" borderId="21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22" borderId="97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22" borderId="21" xfId="0" applyNumberFormat="1" applyFont="1" applyFill="1" applyBorder="1" applyAlignment="1">
      <alignment/>
    </xf>
    <xf numFmtId="3" fontId="5" fillId="0" borderId="108" xfId="0" applyNumberFormat="1" applyFont="1" applyFill="1" applyBorder="1" applyAlignment="1">
      <alignment/>
    </xf>
    <xf numFmtId="3" fontId="5" fillId="22" borderId="144" xfId="61" applyNumberFormat="1" applyFont="1" applyFill="1" applyBorder="1" applyAlignment="1">
      <alignment horizontal="right"/>
      <protection/>
    </xf>
    <xf numFmtId="3" fontId="5" fillId="22" borderId="135" xfId="61" applyNumberFormat="1" applyFont="1" applyFill="1" applyBorder="1" applyAlignment="1">
      <alignment horizontal="right"/>
      <protection/>
    </xf>
    <xf numFmtId="3" fontId="5" fillId="22" borderId="172" xfId="56" applyNumberFormat="1" applyFont="1" applyFill="1" applyBorder="1">
      <alignment/>
      <protection/>
    </xf>
    <xf numFmtId="3" fontId="5" fillId="22" borderId="172" xfId="0" applyNumberFormat="1" applyFont="1" applyFill="1" applyBorder="1" applyAlignment="1">
      <alignment horizontal="right" vertical="center"/>
    </xf>
    <xf numFmtId="3" fontId="5" fillId="22" borderId="165" xfId="0" applyNumberFormat="1" applyFont="1" applyFill="1" applyBorder="1" applyAlignment="1">
      <alignment horizontal="right" vertical="center"/>
    </xf>
    <xf numFmtId="3" fontId="5" fillId="22" borderId="172" xfId="0" applyNumberFormat="1" applyFont="1" applyFill="1" applyBorder="1" applyAlignment="1">
      <alignment/>
    </xf>
    <xf numFmtId="3" fontId="5" fillId="0" borderId="25" xfId="61" applyNumberFormat="1" applyFont="1" applyFill="1" applyBorder="1" applyAlignment="1">
      <alignment horizontal="right"/>
      <protection/>
    </xf>
    <xf numFmtId="3" fontId="5" fillId="22" borderId="14" xfId="58" applyNumberFormat="1" applyFont="1" applyFill="1" applyBorder="1" applyAlignment="1">
      <alignment/>
      <protection/>
    </xf>
    <xf numFmtId="3" fontId="5" fillId="0" borderId="15" xfId="58" applyNumberFormat="1" applyFont="1" applyFill="1" applyBorder="1" applyAlignment="1">
      <alignment/>
      <protection/>
    </xf>
    <xf numFmtId="3" fontId="5" fillId="0" borderId="15" xfId="0" applyNumberFormat="1" applyFont="1" applyFill="1" applyBorder="1" applyAlignment="1">
      <alignment/>
    </xf>
    <xf numFmtId="3" fontId="5" fillId="22" borderId="143" xfId="58" applyNumberFormat="1" applyFont="1" applyFill="1" applyBorder="1" applyAlignment="1">
      <alignment/>
      <protection/>
    </xf>
    <xf numFmtId="3" fontId="5" fillId="22" borderId="197" xfId="0" applyNumberFormat="1" applyFont="1" applyFill="1" applyBorder="1" applyAlignment="1">
      <alignment/>
    </xf>
    <xf numFmtId="3" fontId="9" fillId="4" borderId="89" xfId="58" applyNumberFormat="1" applyFont="1" applyFill="1" applyBorder="1" applyAlignment="1">
      <alignment/>
      <protection/>
    </xf>
    <xf numFmtId="3" fontId="5" fillId="22" borderId="198" xfId="0" applyNumberFormat="1" applyFont="1" applyFill="1" applyBorder="1" applyAlignment="1">
      <alignment/>
    </xf>
    <xf numFmtId="3" fontId="5" fillId="0" borderId="199" xfId="0" applyNumberFormat="1" applyFont="1" applyFill="1" applyBorder="1" applyAlignment="1">
      <alignment/>
    </xf>
    <xf numFmtId="3" fontId="9" fillId="4" borderId="29" xfId="58" applyNumberFormat="1" applyFont="1" applyFill="1" applyBorder="1" applyAlignment="1">
      <alignment horizontal="right"/>
      <protection/>
    </xf>
    <xf numFmtId="3" fontId="8" fillId="20" borderId="155" xfId="58" applyNumberFormat="1" applyFont="1" applyFill="1" applyBorder="1" applyAlignment="1">
      <alignment horizontal="right"/>
      <protection/>
    </xf>
    <xf numFmtId="3" fontId="9" fillId="4" borderId="155" xfId="58" applyNumberFormat="1" applyFont="1" applyFill="1" applyBorder="1" applyAlignment="1">
      <alignment horizontal="right"/>
      <protection/>
    </xf>
    <xf numFmtId="3" fontId="8" fillId="20" borderId="81" xfId="58" applyNumberFormat="1" applyFont="1" applyFill="1" applyBorder="1" applyAlignment="1">
      <alignment horizontal="right"/>
      <protection/>
    </xf>
    <xf numFmtId="3" fontId="9" fillId="4" borderId="80" xfId="58" applyNumberFormat="1" applyFont="1" applyFill="1" applyBorder="1" applyAlignment="1">
      <alignment horizontal="right"/>
      <protection/>
    </xf>
    <xf numFmtId="3" fontId="9" fillId="4" borderId="81" xfId="58" applyNumberFormat="1" applyFont="1" applyFill="1" applyBorder="1" applyAlignment="1">
      <alignment horizontal="right"/>
      <protection/>
    </xf>
    <xf numFmtId="3" fontId="9" fillId="4" borderId="164" xfId="0" applyNumberFormat="1" applyFont="1" applyFill="1" applyBorder="1" applyAlignment="1">
      <alignment horizontal="right"/>
    </xf>
    <xf numFmtId="3" fontId="8" fillId="20" borderId="139" xfId="0" applyNumberFormat="1" applyFont="1" applyFill="1" applyBorder="1" applyAlignment="1">
      <alignment horizontal="right"/>
    </xf>
    <xf numFmtId="3" fontId="9" fillId="4" borderId="138" xfId="0" applyNumberFormat="1" applyFont="1" applyFill="1" applyBorder="1" applyAlignment="1">
      <alignment horizontal="right"/>
    </xf>
    <xf numFmtId="3" fontId="5" fillId="0" borderId="200" xfId="0" applyNumberFormat="1" applyFont="1" applyFill="1" applyBorder="1" applyAlignment="1">
      <alignment/>
    </xf>
    <xf numFmtId="3" fontId="5" fillId="0" borderId="201" xfId="0" applyNumberFormat="1" applyFont="1" applyFill="1" applyBorder="1" applyAlignment="1">
      <alignment/>
    </xf>
    <xf numFmtId="49" fontId="5" fillId="25" borderId="58" xfId="58" applyNumberFormat="1" applyFont="1" applyFill="1" applyBorder="1" applyAlignment="1">
      <alignment horizontal="left"/>
      <protection/>
    </xf>
    <xf numFmtId="49" fontId="5" fillId="25" borderId="62" xfId="58" applyNumberFormat="1" applyFont="1" applyFill="1" applyBorder="1" applyAlignment="1">
      <alignment horizontal="left"/>
      <protection/>
    </xf>
    <xf numFmtId="0" fontId="8" fillId="0" borderId="202" xfId="0" applyFont="1" applyBorder="1" applyAlignment="1">
      <alignment vertical="center"/>
    </xf>
    <xf numFmtId="0" fontId="13" fillId="0" borderId="202" xfId="0" applyFont="1" applyBorder="1" applyAlignment="1">
      <alignment vertical="center"/>
    </xf>
    <xf numFmtId="0" fontId="13" fillId="0" borderId="203" xfId="0" applyFont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3" fontId="8" fillId="20" borderId="154" xfId="0" applyNumberFormat="1" applyFont="1" applyFill="1" applyBorder="1" applyAlignment="1">
      <alignment horizontal="right"/>
    </xf>
    <xf numFmtId="3" fontId="9" fillId="4" borderId="121" xfId="0" applyNumberFormat="1" applyFont="1" applyFill="1" applyBorder="1" applyAlignment="1">
      <alignment horizontal="right"/>
    </xf>
    <xf numFmtId="3" fontId="35" fillId="2" borderId="137" xfId="0" applyNumberFormat="1" applyFont="1" applyFill="1" applyBorder="1" applyAlignment="1">
      <alignment horizontal="center" vertical="center" wrapText="1"/>
    </xf>
    <xf numFmtId="3" fontId="8" fillId="20" borderId="204" xfId="0" applyNumberFormat="1" applyFont="1" applyFill="1" applyBorder="1" applyAlignment="1">
      <alignment horizontal="right"/>
    </xf>
    <xf numFmtId="49" fontId="34" fillId="2" borderId="136" xfId="0" applyNumberFormat="1" applyFont="1" applyFill="1" applyBorder="1" applyAlignment="1">
      <alignment horizontal="center" vertical="center" wrapText="1"/>
    </xf>
    <xf numFmtId="3" fontId="5" fillId="0" borderId="205" xfId="0" applyNumberFormat="1" applyFont="1" applyFill="1" applyBorder="1" applyAlignment="1">
      <alignment horizontal="center" vertical="center" wrapText="1"/>
    </xf>
    <xf numFmtId="3" fontId="9" fillId="23" borderId="55" xfId="0" applyNumberFormat="1" applyFont="1" applyFill="1" applyBorder="1" applyAlignment="1">
      <alignment horizontal="right"/>
    </xf>
    <xf numFmtId="3" fontId="9" fillId="4" borderId="55" xfId="0" applyNumberFormat="1" applyFont="1" applyFill="1" applyBorder="1" applyAlignment="1">
      <alignment horizontal="right"/>
    </xf>
    <xf numFmtId="3" fontId="5" fillId="0" borderId="63" xfId="0" applyNumberFormat="1" applyFont="1" applyFill="1" applyBorder="1" applyAlignment="1">
      <alignment/>
    </xf>
    <xf numFmtId="3" fontId="5" fillId="0" borderId="65" xfId="0" applyNumberFormat="1" applyFont="1" applyFill="1" applyBorder="1" applyAlignment="1">
      <alignment/>
    </xf>
    <xf numFmtId="3" fontId="5" fillId="0" borderId="65" xfId="0" applyNumberFormat="1" applyFont="1" applyFill="1" applyBorder="1" applyAlignment="1">
      <alignment horizontal="right"/>
    </xf>
    <xf numFmtId="3" fontId="5" fillId="25" borderId="65" xfId="0" applyNumberFormat="1" applyFont="1" applyFill="1" applyBorder="1" applyAlignment="1">
      <alignment/>
    </xf>
    <xf numFmtId="3" fontId="5" fillId="0" borderId="74" xfId="0" applyNumberFormat="1" applyFont="1" applyFill="1" applyBorder="1" applyAlignment="1">
      <alignment/>
    </xf>
    <xf numFmtId="49" fontId="9" fillId="0" borderId="124" xfId="0" applyNumberFormat="1" applyFont="1" applyFill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center" vertical="center"/>
    </xf>
    <xf numFmtId="3" fontId="8" fillId="20" borderId="206" xfId="0" applyNumberFormat="1" applyFont="1" applyFill="1" applyBorder="1" applyAlignment="1">
      <alignment horizontal="right"/>
    </xf>
    <xf numFmtId="3" fontId="9" fillId="23" borderId="207" xfId="0" applyNumberFormat="1" applyFont="1" applyFill="1" applyBorder="1" applyAlignment="1">
      <alignment horizontal="right"/>
    </xf>
    <xf numFmtId="3" fontId="9" fillId="4" borderId="207" xfId="0" applyNumberFormat="1" applyFont="1" applyFill="1" applyBorder="1" applyAlignment="1">
      <alignment horizontal="right"/>
    </xf>
    <xf numFmtId="3" fontId="5" fillId="0" borderId="208" xfId="0" applyNumberFormat="1" applyFont="1" applyFill="1" applyBorder="1" applyAlignment="1">
      <alignment/>
    </xf>
    <xf numFmtId="3" fontId="5" fillId="0" borderId="209" xfId="0" applyNumberFormat="1" applyFont="1" applyFill="1" applyBorder="1" applyAlignment="1">
      <alignment/>
    </xf>
    <xf numFmtId="3" fontId="5" fillId="0" borderId="209" xfId="0" applyNumberFormat="1" applyFont="1" applyFill="1" applyBorder="1" applyAlignment="1">
      <alignment horizontal="right"/>
    </xf>
    <xf numFmtId="3" fontId="5" fillId="0" borderId="210" xfId="0" applyNumberFormat="1" applyFont="1" applyFill="1" applyBorder="1" applyAlignment="1">
      <alignment/>
    </xf>
    <xf numFmtId="14" fontId="8" fillId="20" borderId="211" xfId="58" applyNumberFormat="1" applyFont="1" applyFill="1" applyBorder="1" applyAlignment="1">
      <alignment horizontal="left"/>
      <protection/>
    </xf>
    <xf numFmtId="14" fontId="9" fillId="23" borderId="212" xfId="58" applyNumberFormat="1" applyFont="1" applyFill="1" applyBorder="1" applyAlignment="1">
      <alignment horizontal="left"/>
      <protection/>
    </xf>
    <xf numFmtId="14" fontId="9" fillId="4" borderId="212" xfId="58" applyNumberFormat="1" applyFont="1" applyFill="1" applyBorder="1" applyAlignment="1">
      <alignment horizontal="left"/>
      <protection/>
    </xf>
    <xf numFmtId="0" fontId="5" fillId="0" borderId="213" xfId="0" applyFont="1" applyFill="1" applyBorder="1" applyAlignment="1">
      <alignment/>
    </xf>
    <xf numFmtId="49" fontId="5" fillId="0" borderId="214" xfId="56" applyNumberFormat="1" applyFont="1" applyFill="1" applyBorder="1" applyAlignment="1">
      <alignment horizontal="left" indent="1"/>
      <protection/>
    </xf>
    <xf numFmtId="0" fontId="5" fillId="0" borderId="214" xfId="0" applyFont="1" applyFill="1" applyBorder="1" applyAlignment="1">
      <alignment/>
    </xf>
    <xf numFmtId="49" fontId="5" fillId="0" borderId="214" xfId="56" applyNumberFormat="1" applyFont="1" applyFill="1" applyBorder="1" applyAlignment="1">
      <alignment horizontal="left" indent="3"/>
      <protection/>
    </xf>
    <xf numFmtId="0" fontId="5" fillId="0" borderId="215" xfId="0" applyFont="1" applyFill="1" applyBorder="1" applyAlignment="1">
      <alignment/>
    </xf>
    <xf numFmtId="14" fontId="30" fillId="0" borderId="211" xfId="58" applyNumberFormat="1" applyFont="1" applyFill="1" applyBorder="1" applyAlignment="1">
      <alignment horizontal="left"/>
      <protection/>
    </xf>
    <xf numFmtId="14" fontId="31" fillId="0" borderId="212" xfId="58" applyNumberFormat="1" applyFont="1" applyFill="1" applyBorder="1" applyAlignment="1">
      <alignment horizontal="right"/>
      <protection/>
    </xf>
    <xf numFmtId="14" fontId="31" fillId="0" borderId="215" xfId="58" applyNumberFormat="1" applyFont="1" applyFill="1" applyBorder="1" applyAlignment="1">
      <alignment horizontal="right"/>
      <protection/>
    </xf>
    <xf numFmtId="3" fontId="5" fillId="0" borderId="158" xfId="0" applyNumberFormat="1" applyFont="1" applyFill="1" applyBorder="1" applyAlignment="1">
      <alignment horizontal="center" vertical="center" wrapText="1"/>
    </xf>
    <xf numFmtId="3" fontId="5" fillId="0" borderId="161" xfId="0" applyNumberFormat="1" applyFont="1" applyFill="1" applyBorder="1" applyAlignment="1">
      <alignment horizontal="center" vertical="center" wrapText="1"/>
    </xf>
    <xf numFmtId="49" fontId="9" fillId="0" borderId="216" xfId="0" applyNumberFormat="1" applyFont="1" applyFill="1" applyBorder="1" applyAlignment="1">
      <alignment horizontal="center" vertical="center" wrapText="1"/>
    </xf>
    <xf numFmtId="3" fontId="8" fillId="20" borderId="206" xfId="0" applyNumberFormat="1" applyFont="1" applyFill="1" applyBorder="1" applyAlignment="1">
      <alignment/>
    </xf>
    <xf numFmtId="3" fontId="9" fillId="23" borderId="207" xfId="0" applyNumberFormat="1" applyFont="1" applyFill="1" applyBorder="1" applyAlignment="1">
      <alignment/>
    </xf>
    <xf numFmtId="3" fontId="9" fillId="4" borderId="207" xfId="0" applyNumberFormat="1" applyFont="1" applyFill="1" applyBorder="1" applyAlignment="1">
      <alignment/>
    </xf>
    <xf numFmtId="3" fontId="5" fillId="0" borderId="209" xfId="58" applyNumberFormat="1" applyFont="1" applyFill="1" applyBorder="1" applyAlignment="1">
      <alignment wrapText="1"/>
      <protection/>
    </xf>
    <xf numFmtId="3" fontId="5" fillId="0" borderId="209" xfId="56" applyNumberFormat="1" applyFont="1" applyFill="1" applyBorder="1" applyAlignment="1">
      <alignment/>
      <protection/>
    </xf>
    <xf numFmtId="3" fontId="5" fillId="0" borderId="209" xfId="60" applyNumberFormat="1" applyFont="1" applyFill="1" applyBorder="1" applyAlignment="1">
      <alignment/>
      <protection/>
    </xf>
    <xf numFmtId="3" fontId="5" fillId="0" borderId="209" xfId="57" applyNumberFormat="1" applyFont="1" applyFill="1" applyBorder="1" applyAlignment="1">
      <alignment wrapText="1"/>
      <protection/>
    </xf>
    <xf numFmtId="3" fontId="5" fillId="0" borderId="209" xfId="0" applyNumberFormat="1" applyFont="1" applyFill="1" applyBorder="1" applyAlignment="1">
      <alignment wrapText="1"/>
    </xf>
    <xf numFmtId="3" fontId="5" fillId="0" borderId="214" xfId="58" applyNumberFormat="1" applyFont="1" applyFill="1" applyBorder="1" applyAlignment="1">
      <alignment horizontal="left" wrapText="1"/>
      <protection/>
    </xf>
    <xf numFmtId="3" fontId="5" fillId="0" borderId="214" xfId="60" applyNumberFormat="1" applyFont="1" applyFill="1" applyBorder="1" applyAlignment="1">
      <alignment horizontal="left"/>
      <protection/>
    </xf>
    <xf numFmtId="3" fontId="5" fillId="0" borderId="214" xfId="57" applyNumberFormat="1" applyFont="1" applyFill="1" applyBorder="1" applyAlignment="1">
      <alignment horizontal="left" wrapText="1"/>
      <protection/>
    </xf>
    <xf numFmtId="0" fontId="5" fillId="0" borderId="214" xfId="0" applyFont="1" applyFill="1" applyBorder="1" applyAlignment="1">
      <alignment wrapText="1"/>
    </xf>
    <xf numFmtId="3" fontId="9" fillId="0" borderId="216" xfId="0" applyNumberFormat="1" applyFont="1" applyFill="1" applyBorder="1" applyAlignment="1">
      <alignment horizontal="center" vertical="center" wrapText="1"/>
    </xf>
    <xf numFmtId="3" fontId="8" fillId="20" borderId="206" xfId="58" applyNumberFormat="1" applyFont="1" applyFill="1" applyBorder="1" applyAlignment="1">
      <alignment horizontal="right"/>
      <protection/>
    </xf>
    <xf numFmtId="3" fontId="9" fillId="4" borderId="207" xfId="58" applyNumberFormat="1" applyFont="1" applyFill="1" applyBorder="1" applyAlignment="1">
      <alignment horizontal="right"/>
      <protection/>
    </xf>
    <xf numFmtId="3" fontId="5" fillId="0" borderId="208" xfId="58" applyNumberFormat="1" applyFont="1" applyFill="1" applyBorder="1" applyAlignment="1">
      <alignment horizontal="right"/>
      <protection/>
    </xf>
    <xf numFmtId="3" fontId="5" fillId="0" borderId="217" xfId="56" applyNumberFormat="1" applyFont="1" applyFill="1" applyBorder="1" applyAlignment="1">
      <alignment horizontal="right" indent="1"/>
      <protection/>
    </xf>
    <xf numFmtId="3" fontId="6" fillId="0" borderId="209" xfId="56" applyNumberFormat="1" applyFont="1" applyFill="1" applyBorder="1" applyAlignment="1">
      <alignment horizontal="right" indent="1"/>
      <protection/>
    </xf>
    <xf numFmtId="3" fontId="5" fillId="0" borderId="209" xfId="58" applyNumberFormat="1" applyFont="1" applyFill="1" applyBorder="1" applyAlignment="1">
      <alignment horizontal="right"/>
      <protection/>
    </xf>
    <xf numFmtId="3" fontId="5" fillId="0" borderId="209" xfId="60" applyNumberFormat="1" applyFont="1" applyFill="1" applyBorder="1" applyAlignment="1">
      <alignment horizontal="right"/>
      <protection/>
    </xf>
    <xf numFmtId="3" fontId="5" fillId="25" borderId="209" xfId="60" applyNumberFormat="1" applyFont="1" applyFill="1" applyBorder="1" applyAlignment="1">
      <alignment horizontal="right"/>
      <protection/>
    </xf>
    <xf numFmtId="3" fontId="5" fillId="0" borderId="218" xfId="60" applyNumberFormat="1" applyFont="1" applyFill="1" applyBorder="1" applyAlignment="1">
      <alignment horizontal="right" wrapText="1"/>
      <protection/>
    </xf>
    <xf numFmtId="3" fontId="30" fillId="0" borderId="206" xfId="0" applyNumberFormat="1" applyFont="1" applyFill="1" applyBorder="1" applyAlignment="1">
      <alignment horizontal="right"/>
    </xf>
    <xf numFmtId="3" fontId="31" fillId="0" borderId="207" xfId="0" applyNumberFormat="1" applyFont="1" applyFill="1" applyBorder="1" applyAlignment="1">
      <alignment horizontal="right"/>
    </xf>
    <xf numFmtId="3" fontId="31" fillId="0" borderId="118" xfId="0" applyNumberFormat="1" applyFont="1" applyFill="1" applyBorder="1" applyAlignment="1">
      <alignment horizontal="right"/>
    </xf>
    <xf numFmtId="49" fontId="34" fillId="0" borderId="147" xfId="0" applyNumberFormat="1" applyFont="1" applyFill="1" applyBorder="1" applyAlignment="1">
      <alignment horizontal="center" vertical="center" wrapText="1"/>
    </xf>
    <xf numFmtId="3" fontId="5" fillId="0" borderId="209" xfId="60" applyNumberFormat="1" applyFont="1" applyFill="1" applyBorder="1" applyAlignment="1">
      <alignment horizontal="right" wrapText="1"/>
      <protection/>
    </xf>
    <xf numFmtId="49" fontId="20" fillId="0" borderId="147" xfId="0" applyNumberFormat="1" applyFont="1" applyFill="1" applyBorder="1" applyAlignment="1">
      <alignment horizontal="center" vertical="center" wrapText="1"/>
    </xf>
    <xf numFmtId="3" fontId="5" fillId="0" borderId="208" xfId="62" applyNumberFormat="1" applyFont="1" applyFill="1" applyBorder="1" applyAlignment="1">
      <alignment/>
      <protection/>
    </xf>
    <xf numFmtId="3" fontId="5" fillId="0" borderId="219" xfId="56" applyNumberFormat="1" applyFont="1" applyFill="1" applyBorder="1" applyAlignment="1">
      <alignment/>
      <protection/>
    </xf>
    <xf numFmtId="3" fontId="5" fillId="0" borderId="220" xfId="56" applyNumberFormat="1" applyFont="1" applyFill="1" applyBorder="1" applyAlignment="1">
      <alignment/>
      <protection/>
    </xf>
    <xf numFmtId="14" fontId="8" fillId="20" borderId="164" xfId="58" applyNumberFormat="1" applyFont="1" applyFill="1" applyBorder="1" applyAlignment="1">
      <alignment horizontal="left"/>
      <protection/>
    </xf>
    <xf numFmtId="14" fontId="9" fillId="23" borderId="150" xfId="58" applyNumberFormat="1" applyFont="1" applyFill="1" applyBorder="1" applyAlignment="1">
      <alignment horizontal="left"/>
      <protection/>
    </xf>
    <xf numFmtId="14" fontId="9" fillId="4" borderId="150" xfId="58" applyNumberFormat="1" applyFont="1" applyFill="1" applyBorder="1" applyAlignment="1">
      <alignment horizontal="left"/>
      <protection/>
    </xf>
    <xf numFmtId="0" fontId="5" fillId="0" borderId="64" xfId="63" applyNumberFormat="1" applyFont="1" applyFill="1" applyBorder="1" applyAlignment="1">
      <alignment horizontal="left"/>
      <protection/>
    </xf>
    <xf numFmtId="49" fontId="5" fillId="0" borderId="57" xfId="56" applyNumberFormat="1" applyFont="1" applyFill="1" applyBorder="1" applyAlignment="1">
      <alignment horizontal="left" indent="1"/>
      <protection/>
    </xf>
    <xf numFmtId="0" fontId="5" fillId="0" borderId="57" xfId="63" applyNumberFormat="1" applyFont="1" applyFill="1" applyBorder="1" applyAlignment="1">
      <alignment horizontal="left"/>
      <protection/>
    </xf>
    <xf numFmtId="0" fontId="5" fillId="0" borderId="64" xfId="62" applyNumberFormat="1" applyFont="1" applyFill="1" applyBorder="1" applyAlignment="1">
      <alignment horizontal="left"/>
      <protection/>
    </xf>
    <xf numFmtId="0" fontId="5" fillId="0" borderId="64" xfId="58" applyNumberFormat="1" applyFont="1" applyFill="1" applyBorder="1" applyAlignment="1">
      <alignment horizontal="left"/>
      <protection/>
    </xf>
    <xf numFmtId="0" fontId="5" fillId="0" borderId="57" xfId="62" applyNumberFormat="1" applyFont="1" applyFill="1" applyBorder="1" applyAlignment="1">
      <alignment horizontal="left"/>
      <protection/>
    </xf>
    <xf numFmtId="49" fontId="5" fillId="0" borderId="57" xfId="56" applyNumberFormat="1" applyFont="1" applyFill="1" applyBorder="1" applyAlignment="1">
      <alignment horizontal="left" indent="3"/>
      <protection/>
    </xf>
    <xf numFmtId="49" fontId="5" fillId="0" borderId="108" xfId="56" applyNumberFormat="1" applyFont="1" applyFill="1" applyBorder="1" applyAlignment="1">
      <alignment horizontal="left" indent="3"/>
      <protection/>
    </xf>
    <xf numFmtId="49" fontId="5" fillId="0" borderId="68" xfId="56" applyNumberFormat="1" applyFont="1" applyFill="1" applyBorder="1" applyAlignment="1">
      <alignment horizontal="left" indent="3"/>
      <protection/>
    </xf>
    <xf numFmtId="3" fontId="8" fillId="20" borderId="162" xfId="58" applyNumberFormat="1" applyFont="1" applyFill="1" applyBorder="1" applyAlignment="1">
      <alignment horizontal="right"/>
      <protection/>
    </xf>
    <xf numFmtId="3" fontId="9" fillId="4" borderId="163" xfId="58" applyNumberFormat="1" applyFont="1" applyFill="1" applyBorder="1" applyAlignment="1">
      <alignment horizontal="right"/>
      <protection/>
    </xf>
    <xf numFmtId="3" fontId="5" fillId="0" borderId="221" xfId="60" applyNumberFormat="1" applyFont="1" applyFill="1" applyBorder="1" applyAlignment="1">
      <alignment horizontal="right"/>
      <protection/>
    </xf>
    <xf numFmtId="3" fontId="5" fillId="0" borderId="222" xfId="60" applyNumberFormat="1" applyFont="1" applyFill="1" applyBorder="1" applyAlignment="1">
      <alignment horizontal="right"/>
      <protection/>
    </xf>
    <xf numFmtId="3" fontId="5" fillId="0" borderId="223" xfId="60" applyNumberFormat="1" applyFont="1" applyFill="1" applyBorder="1" applyAlignment="1">
      <alignment horizontal="right"/>
      <protection/>
    </xf>
    <xf numFmtId="3" fontId="5" fillId="0" borderId="224" xfId="60" applyNumberFormat="1" applyFont="1" applyFill="1" applyBorder="1" applyAlignment="1">
      <alignment horizontal="right"/>
      <protection/>
    </xf>
    <xf numFmtId="3" fontId="5" fillId="0" borderId="222" xfId="56" applyNumberFormat="1" applyFont="1" applyFill="1" applyBorder="1" applyAlignment="1">
      <alignment horizontal="right"/>
      <protection/>
    </xf>
    <xf numFmtId="3" fontId="5" fillId="0" borderId="225" xfId="56" applyNumberFormat="1" applyFont="1" applyFill="1" applyBorder="1" applyAlignment="1">
      <alignment horizontal="right"/>
      <protection/>
    </xf>
    <xf numFmtId="3" fontId="8" fillId="20" borderId="62" xfId="0" applyNumberFormat="1" applyFont="1" applyFill="1" applyBorder="1" applyAlignment="1">
      <alignment horizontal="right"/>
    </xf>
    <xf numFmtId="3" fontId="5" fillId="0" borderId="66" xfId="0" applyNumberFormat="1" applyFont="1" applyFill="1" applyBorder="1" applyAlignment="1">
      <alignment/>
    </xf>
    <xf numFmtId="3" fontId="5" fillId="0" borderId="208" xfId="56" applyNumberFormat="1" applyFont="1" applyFill="1" applyBorder="1" applyAlignment="1">
      <alignment/>
      <protection/>
    </xf>
    <xf numFmtId="3" fontId="5" fillId="0" borderId="209" xfId="62" applyNumberFormat="1" applyFont="1" applyFill="1" applyBorder="1" applyAlignment="1">
      <alignment/>
      <protection/>
    </xf>
    <xf numFmtId="3" fontId="5" fillId="0" borderId="209" xfId="59" applyNumberFormat="1" applyFont="1" applyFill="1" applyBorder="1" applyAlignment="1">
      <alignment/>
      <protection/>
    </xf>
    <xf numFmtId="3" fontId="5" fillId="0" borderId="209" xfId="0" applyNumberFormat="1" applyFont="1" applyFill="1" applyBorder="1" applyAlignment="1">
      <alignment/>
    </xf>
    <xf numFmtId="3" fontId="5" fillId="0" borderId="208" xfId="59" applyNumberFormat="1" applyFont="1" applyFill="1" applyBorder="1" applyAlignment="1">
      <alignment/>
      <protection/>
    </xf>
    <xf numFmtId="3" fontId="5" fillId="0" borderId="64" xfId="62" applyNumberFormat="1" applyFont="1" applyFill="1" applyBorder="1" applyAlignment="1">
      <alignment horizontal="left"/>
      <protection/>
    </xf>
    <xf numFmtId="3" fontId="5" fillId="0" borderId="57" xfId="62" applyNumberFormat="1" applyFont="1" applyFill="1" applyBorder="1" applyAlignment="1">
      <alignment horizontal="left"/>
      <protection/>
    </xf>
    <xf numFmtId="3" fontId="5" fillId="0" borderId="57" xfId="59" applyNumberFormat="1" applyFont="1" applyFill="1" applyBorder="1" applyAlignment="1">
      <alignment horizontal="left"/>
      <protection/>
    </xf>
    <xf numFmtId="3" fontId="5" fillId="0" borderId="64" xfId="59" applyNumberFormat="1" applyFont="1" applyFill="1" applyBorder="1" applyAlignment="1">
      <alignment horizontal="left"/>
      <protection/>
    </xf>
    <xf numFmtId="3" fontId="5" fillId="0" borderId="65" xfId="0" applyNumberFormat="1" applyFont="1" applyFill="1" applyBorder="1" applyAlignment="1">
      <alignment/>
    </xf>
    <xf numFmtId="3" fontId="5" fillId="0" borderId="208" xfId="0" applyNumberFormat="1" applyFont="1" applyFill="1" applyBorder="1" applyAlignment="1">
      <alignment/>
    </xf>
    <xf numFmtId="3" fontId="5" fillId="0" borderId="217" xfId="56" applyNumberFormat="1" applyFont="1" applyFill="1" applyBorder="1" applyAlignment="1">
      <alignment/>
      <protection/>
    </xf>
    <xf numFmtId="3" fontId="9" fillId="23" borderId="226" xfId="56" applyNumberFormat="1" applyFont="1" applyFill="1" applyBorder="1" applyAlignment="1">
      <alignment/>
      <protection/>
    </xf>
    <xf numFmtId="3" fontId="5" fillId="0" borderId="218" xfId="56" applyNumberFormat="1" applyFont="1" applyFill="1" applyBorder="1" applyAlignment="1">
      <alignment/>
      <protection/>
    </xf>
    <xf numFmtId="3" fontId="5" fillId="0" borderId="227" xfId="61" applyNumberFormat="1" applyFont="1" applyFill="1" applyBorder="1" applyAlignment="1">
      <alignment horizontal="left"/>
      <protection/>
    </xf>
    <xf numFmtId="49" fontId="5" fillId="0" borderId="214" xfId="56" applyNumberFormat="1" applyFont="1" applyFill="1" applyBorder="1" applyAlignment="1">
      <alignment horizontal="left" indent="2"/>
      <protection/>
    </xf>
    <xf numFmtId="3" fontId="5" fillId="0" borderId="214" xfId="61" applyNumberFormat="1" applyFont="1" applyFill="1" applyBorder="1" applyAlignment="1">
      <alignment horizontal="left"/>
      <protection/>
    </xf>
    <xf numFmtId="3" fontId="5" fillId="0" borderId="214" xfId="56" applyNumberFormat="1" applyFont="1" applyFill="1" applyBorder="1" applyAlignment="1">
      <alignment horizontal="left"/>
      <protection/>
    </xf>
    <xf numFmtId="49" fontId="5" fillId="0" borderId="213" xfId="56" applyNumberFormat="1" applyFont="1" applyFill="1" applyBorder="1" applyAlignment="1">
      <alignment horizontal="left" indent="2"/>
      <protection/>
    </xf>
    <xf numFmtId="3" fontId="9" fillId="23" borderId="228" xfId="56" applyNumberFormat="1" applyFont="1" applyFill="1" applyBorder="1" applyAlignment="1">
      <alignment horizontal="left"/>
      <protection/>
    </xf>
    <xf numFmtId="3" fontId="5" fillId="0" borderId="227" xfId="56" applyNumberFormat="1" applyFont="1" applyFill="1" applyBorder="1" applyAlignment="1">
      <alignment horizontal="left"/>
      <protection/>
    </xf>
    <xf numFmtId="3" fontId="5" fillId="0" borderId="213" xfId="56" applyNumberFormat="1" applyFont="1" applyFill="1" applyBorder="1" applyAlignment="1">
      <alignment horizontal="left"/>
      <protection/>
    </xf>
    <xf numFmtId="49" fontId="5" fillId="0" borderId="229" xfId="56" applyNumberFormat="1" applyFont="1" applyFill="1" applyBorder="1" applyAlignment="1">
      <alignment horizontal="left" indent="2"/>
      <protection/>
    </xf>
    <xf numFmtId="3" fontId="9" fillId="23" borderId="83" xfId="0" applyNumberFormat="1" applyFont="1" applyFill="1" applyBorder="1" applyAlignment="1">
      <alignment horizontal="right"/>
    </xf>
    <xf numFmtId="3" fontId="8" fillId="20" borderId="230" xfId="0" applyNumberFormat="1" applyFont="1" applyFill="1" applyBorder="1" applyAlignment="1">
      <alignment horizontal="right"/>
    </xf>
    <xf numFmtId="3" fontId="9" fillId="23" borderId="231" xfId="0" applyNumberFormat="1" applyFont="1" applyFill="1" applyBorder="1" applyAlignment="1">
      <alignment horizontal="right"/>
    </xf>
    <xf numFmtId="3" fontId="9" fillId="4" borderId="231" xfId="0" applyNumberFormat="1" applyFont="1" applyFill="1" applyBorder="1" applyAlignment="1">
      <alignment horizontal="right"/>
    </xf>
    <xf numFmtId="3" fontId="22" fillId="4" borderId="232" xfId="0" applyNumberFormat="1" applyFont="1" applyFill="1" applyBorder="1" applyAlignment="1">
      <alignment horizontal="right"/>
    </xf>
    <xf numFmtId="3" fontId="5" fillId="0" borderId="217" xfId="63" applyNumberFormat="1" applyFont="1" applyFill="1" applyBorder="1" applyAlignment="1">
      <alignment horizontal="right"/>
      <protection/>
    </xf>
    <xf numFmtId="3" fontId="5" fillId="0" borderId="209" xfId="59" applyNumberFormat="1" applyFont="1" applyFill="1" applyBorder="1" applyAlignment="1">
      <alignment horizontal="right"/>
      <protection/>
    </xf>
    <xf numFmtId="3" fontId="22" fillId="0" borderId="209" xfId="59" applyNumberFormat="1" applyFont="1" applyFill="1" applyBorder="1" applyAlignment="1">
      <alignment horizontal="right"/>
      <protection/>
    </xf>
    <xf numFmtId="3" fontId="5" fillId="0" borderId="209" xfId="56" applyNumberFormat="1" applyFont="1" applyFill="1" applyBorder="1" applyAlignment="1">
      <alignment horizontal="right"/>
      <protection/>
    </xf>
    <xf numFmtId="3" fontId="5" fillId="0" borderId="232" xfId="0" applyNumberFormat="1" applyFont="1" applyFill="1" applyBorder="1" applyAlignment="1">
      <alignment horizontal="right"/>
    </xf>
    <xf numFmtId="3" fontId="5" fillId="0" borderId="217" xfId="0" applyNumberFormat="1" applyFont="1" applyFill="1" applyBorder="1" applyAlignment="1">
      <alignment horizontal="right"/>
    </xf>
    <xf numFmtId="3" fontId="5" fillId="0" borderId="209" xfId="59" applyNumberFormat="1" applyFont="1" applyFill="1" applyBorder="1" applyAlignment="1">
      <alignment horizontal="right" wrapText="1"/>
      <protection/>
    </xf>
    <xf numFmtId="3" fontId="5" fillId="0" borderId="219" xfId="56" applyNumberFormat="1" applyFont="1" applyFill="1" applyBorder="1" applyAlignment="1">
      <alignment horizontal="right"/>
      <protection/>
    </xf>
    <xf numFmtId="3" fontId="5" fillId="0" borderId="219" xfId="59" applyNumberFormat="1" applyFont="1" applyFill="1" applyBorder="1" applyAlignment="1">
      <alignment horizontal="right" wrapText="1"/>
      <protection/>
    </xf>
    <xf numFmtId="3" fontId="5" fillId="0" borderId="209" xfId="63" applyNumberFormat="1" applyFont="1" applyFill="1" applyBorder="1" applyAlignment="1">
      <alignment horizontal="right"/>
      <protection/>
    </xf>
    <xf numFmtId="3" fontId="5" fillId="0" borderId="209" xfId="63" applyNumberFormat="1" applyFont="1" applyFill="1" applyBorder="1" applyAlignment="1">
      <alignment horizontal="right" wrapText="1"/>
      <protection/>
    </xf>
    <xf numFmtId="3" fontId="5" fillId="0" borderId="219" xfId="63" applyNumberFormat="1" applyFont="1" applyFill="1" applyBorder="1" applyAlignment="1">
      <alignment horizontal="right"/>
      <protection/>
    </xf>
    <xf numFmtId="3" fontId="5" fillId="0" borderId="218" xfId="63" applyNumberFormat="1" applyFont="1" applyFill="1" applyBorder="1" applyAlignment="1">
      <alignment horizontal="right"/>
      <protection/>
    </xf>
    <xf numFmtId="14" fontId="8" fillId="20" borderId="178" xfId="58" applyNumberFormat="1" applyFont="1" applyFill="1" applyBorder="1" applyAlignment="1">
      <alignment horizontal="left"/>
      <protection/>
    </xf>
    <xf numFmtId="14" fontId="9" fillId="23" borderId="176" xfId="58" applyNumberFormat="1" applyFont="1" applyFill="1" applyBorder="1" applyAlignment="1">
      <alignment horizontal="left"/>
      <protection/>
    </xf>
    <xf numFmtId="14" fontId="9" fillId="4" borderId="176" xfId="58" applyNumberFormat="1" applyFont="1" applyFill="1" applyBorder="1" applyAlignment="1">
      <alignment horizontal="left"/>
      <protection/>
    </xf>
    <xf numFmtId="0" fontId="22" fillId="4" borderId="214" xfId="56" applyFont="1" applyFill="1" applyBorder="1" applyAlignment="1">
      <alignment horizontal="right"/>
      <protection/>
    </xf>
    <xf numFmtId="3" fontId="5" fillId="0" borderId="213" xfId="63" applyNumberFormat="1" applyFont="1" applyFill="1" applyBorder="1" applyAlignment="1">
      <alignment horizontal="left"/>
      <protection/>
    </xf>
    <xf numFmtId="0" fontId="5" fillId="0" borderId="214" xfId="56" applyFont="1" applyFill="1" applyBorder="1" applyAlignment="1">
      <alignment horizontal="left"/>
      <protection/>
    </xf>
    <xf numFmtId="0" fontId="22" fillId="0" borderId="214" xfId="56" applyFont="1" applyFill="1" applyBorder="1" applyAlignment="1">
      <alignment horizontal="right"/>
      <protection/>
    </xf>
    <xf numFmtId="0" fontId="5" fillId="0" borderId="214" xfId="56" applyFont="1" applyFill="1" applyBorder="1" applyAlignment="1">
      <alignment horizontal="right"/>
      <protection/>
    </xf>
    <xf numFmtId="49" fontId="5" fillId="0" borderId="233" xfId="56" applyNumberFormat="1" applyFont="1" applyFill="1" applyBorder="1" applyAlignment="1">
      <alignment horizontal="left"/>
      <protection/>
    </xf>
    <xf numFmtId="3" fontId="5" fillId="0" borderId="213" xfId="59" applyNumberFormat="1" applyFont="1" applyFill="1" applyBorder="1" applyAlignment="1">
      <alignment horizontal="left"/>
      <protection/>
    </xf>
    <xf numFmtId="3" fontId="5" fillId="0" borderId="214" xfId="59" applyNumberFormat="1" applyFont="1" applyFill="1" applyBorder="1" applyAlignment="1">
      <alignment horizontal="left"/>
      <protection/>
    </xf>
    <xf numFmtId="49" fontId="5" fillId="0" borderId="214" xfId="56" applyNumberFormat="1" applyFont="1" applyFill="1" applyBorder="1" applyAlignment="1">
      <alignment horizontal="left"/>
      <protection/>
    </xf>
    <xf numFmtId="3" fontId="5" fillId="0" borderId="214" xfId="59" applyNumberFormat="1" applyFont="1" applyFill="1" applyBorder="1" applyAlignment="1">
      <alignment horizontal="left" wrapText="1"/>
      <protection/>
    </xf>
    <xf numFmtId="3" fontId="5" fillId="0" borderId="234" xfId="59" applyNumberFormat="1" applyFont="1" applyFill="1" applyBorder="1" applyAlignment="1">
      <alignment horizontal="left" wrapText="1"/>
      <protection/>
    </xf>
    <xf numFmtId="3" fontId="5" fillId="0" borderId="214" xfId="63" applyNumberFormat="1" applyFont="1" applyFill="1" applyBorder="1" applyAlignment="1">
      <alignment horizontal="left"/>
      <protection/>
    </xf>
    <xf numFmtId="3" fontId="5" fillId="0" borderId="214" xfId="63" applyNumberFormat="1" applyFont="1" applyFill="1" applyBorder="1" applyAlignment="1">
      <alignment horizontal="left" wrapText="1"/>
      <protection/>
    </xf>
    <xf numFmtId="3" fontId="5" fillId="0" borderId="234" xfId="63" applyNumberFormat="1" applyFont="1" applyFill="1" applyBorder="1" applyAlignment="1">
      <alignment horizontal="left"/>
      <protection/>
    </xf>
    <xf numFmtId="3" fontId="5" fillId="0" borderId="229" xfId="63" applyNumberFormat="1" applyFont="1" applyFill="1" applyBorder="1" applyAlignment="1">
      <alignment horizontal="left"/>
      <protection/>
    </xf>
    <xf numFmtId="3" fontId="9" fillId="23" borderId="171" xfId="0" applyNumberFormat="1" applyFont="1" applyFill="1" applyBorder="1" applyAlignment="1">
      <alignment horizontal="right"/>
    </xf>
    <xf numFmtId="3" fontId="9" fillId="23" borderId="177" xfId="0" applyNumberFormat="1" applyFont="1" applyFill="1" applyBorder="1" applyAlignment="1">
      <alignment horizontal="right"/>
    </xf>
    <xf numFmtId="3" fontId="9" fillId="23" borderId="143" xfId="0" applyNumberFormat="1" applyFont="1" applyFill="1" applyBorder="1" applyAlignment="1">
      <alignment horizontal="right"/>
    </xf>
    <xf numFmtId="49" fontId="9" fillId="4" borderId="235" xfId="58" applyNumberFormat="1" applyFont="1" applyFill="1" applyBorder="1" applyAlignment="1">
      <alignment horizontal="left"/>
      <protection/>
    </xf>
    <xf numFmtId="0" fontId="5" fillId="4" borderId="236" xfId="56" applyFont="1" applyFill="1" applyBorder="1" applyAlignment="1">
      <alignment horizontal="right"/>
      <protection/>
    </xf>
    <xf numFmtId="3" fontId="9" fillId="4" borderId="230" xfId="0" applyNumberFormat="1" applyFont="1" applyFill="1" applyBorder="1" applyAlignment="1">
      <alignment horizontal="right"/>
    </xf>
    <xf numFmtId="3" fontId="9" fillId="22" borderId="183" xfId="0" applyNumberFormat="1" applyFont="1" applyFill="1" applyBorder="1" applyAlignment="1">
      <alignment horizontal="right"/>
    </xf>
    <xf numFmtId="3" fontId="9" fillId="22" borderId="181" xfId="0" applyNumberFormat="1" applyFont="1" applyFill="1" applyBorder="1" applyAlignment="1">
      <alignment horizontal="right"/>
    </xf>
    <xf numFmtId="3" fontId="9" fillId="4" borderId="32" xfId="0" applyNumberFormat="1" applyFont="1" applyFill="1" applyBorder="1" applyAlignment="1">
      <alignment horizontal="right"/>
    </xf>
    <xf numFmtId="3" fontId="9" fillId="4" borderId="178" xfId="0" applyNumberFormat="1" applyFont="1" applyFill="1" applyBorder="1" applyAlignment="1">
      <alignment horizontal="right"/>
    </xf>
    <xf numFmtId="3" fontId="8" fillId="20" borderId="206" xfId="58" applyNumberFormat="1" applyFont="1" applyFill="1" applyBorder="1" applyAlignment="1">
      <alignment/>
      <protection/>
    </xf>
    <xf numFmtId="3" fontId="9" fillId="4" borderId="207" xfId="58" applyNumberFormat="1" applyFont="1" applyFill="1" applyBorder="1" applyAlignment="1">
      <alignment/>
      <protection/>
    </xf>
    <xf numFmtId="3" fontId="5" fillId="0" borderId="208" xfId="56" applyNumberFormat="1" applyFont="1" applyFill="1" applyBorder="1" applyAlignment="1">
      <alignment wrapText="1"/>
      <protection/>
    </xf>
    <xf numFmtId="3" fontId="5" fillId="0" borderId="209" xfId="56" applyNumberFormat="1" applyFont="1" applyFill="1" applyBorder="1" applyAlignment="1">
      <alignment wrapText="1"/>
      <protection/>
    </xf>
    <xf numFmtId="3" fontId="5" fillId="0" borderId="227" xfId="56" applyNumberFormat="1" applyFont="1" applyFill="1" applyBorder="1" applyAlignment="1">
      <alignment horizontal="left" wrapText="1"/>
      <protection/>
    </xf>
    <xf numFmtId="3" fontId="5" fillId="0" borderId="214" xfId="56" applyNumberFormat="1" applyFont="1" applyFill="1" applyBorder="1" applyAlignment="1">
      <alignment horizontal="left" wrapText="1"/>
      <protection/>
    </xf>
    <xf numFmtId="49" fontId="5" fillId="0" borderId="234" xfId="56" applyNumberFormat="1" applyFont="1" applyFill="1" applyBorder="1" applyAlignment="1">
      <alignment horizontal="left"/>
      <protection/>
    </xf>
    <xf numFmtId="49" fontId="5" fillId="0" borderId="229" xfId="56" applyNumberFormat="1" applyFont="1" applyFill="1" applyBorder="1" applyAlignment="1">
      <alignment horizontal="left"/>
      <protection/>
    </xf>
    <xf numFmtId="3" fontId="5" fillId="0" borderId="208" xfId="56" applyNumberFormat="1" applyFont="1" applyFill="1" applyBorder="1">
      <alignment/>
      <protection/>
    </xf>
    <xf numFmtId="3" fontId="5" fillId="0" borderId="209" xfId="56" applyNumberFormat="1" applyFont="1" applyFill="1" applyBorder="1">
      <alignment/>
      <protection/>
    </xf>
    <xf numFmtId="3" fontId="9" fillId="0" borderId="237" xfId="0" applyNumberFormat="1" applyFont="1" applyFill="1" applyBorder="1" applyAlignment="1">
      <alignment horizontal="center" vertical="center" wrapText="1"/>
    </xf>
    <xf numFmtId="3" fontId="5" fillId="0" borderId="238" xfId="0" applyNumberFormat="1" applyFont="1" applyFill="1" applyBorder="1" applyAlignment="1">
      <alignment horizontal="center" vertical="center"/>
    </xf>
    <xf numFmtId="3" fontId="9" fillId="0" borderId="239" xfId="0" applyNumberFormat="1" applyFont="1" applyFill="1" applyBorder="1" applyAlignment="1">
      <alignment horizontal="center" vertical="center" wrapText="1"/>
    </xf>
    <xf numFmtId="3" fontId="5" fillId="0" borderId="240" xfId="0" applyNumberFormat="1" applyFont="1" applyFill="1" applyBorder="1" applyAlignment="1">
      <alignment horizontal="center" vertical="center"/>
    </xf>
    <xf numFmtId="3" fontId="8" fillId="20" borderId="241" xfId="0" applyNumberFormat="1" applyFont="1" applyFill="1" applyBorder="1" applyAlignment="1">
      <alignment/>
    </xf>
    <xf numFmtId="3" fontId="9" fillId="23" borderId="231" xfId="0" applyNumberFormat="1" applyFont="1" applyFill="1" applyBorder="1" applyAlignment="1">
      <alignment/>
    </xf>
    <xf numFmtId="3" fontId="9" fillId="4" borderId="231" xfId="0" applyNumberFormat="1" applyFont="1" applyFill="1" applyBorder="1" applyAlignment="1">
      <alignment/>
    </xf>
    <xf numFmtId="3" fontId="5" fillId="0" borderId="217" xfId="0" applyNumberFormat="1" applyFont="1" applyBorder="1" applyAlignment="1">
      <alignment/>
    </xf>
    <xf numFmtId="3" fontId="5" fillId="0" borderId="209" xfId="58" applyNumberFormat="1" applyFont="1" applyFill="1" applyBorder="1" applyAlignment="1">
      <alignment/>
      <protection/>
    </xf>
    <xf numFmtId="3" fontId="22" fillId="0" borderId="209" xfId="56" applyNumberFormat="1" applyFont="1" applyFill="1" applyBorder="1" applyAlignment="1">
      <alignment/>
      <protection/>
    </xf>
    <xf numFmtId="3" fontId="5" fillId="0" borderId="209" xfId="0" applyNumberFormat="1" applyFont="1" applyBorder="1" applyAlignment="1">
      <alignment/>
    </xf>
    <xf numFmtId="3" fontId="5" fillId="0" borderId="232" xfId="56" applyNumberFormat="1" applyFont="1" applyFill="1" applyBorder="1" applyAlignment="1">
      <alignment/>
      <protection/>
    </xf>
    <xf numFmtId="14" fontId="8" fillId="20" borderId="175" xfId="58" applyNumberFormat="1" applyFont="1" applyFill="1" applyBorder="1" applyAlignment="1">
      <alignment horizontal="left"/>
      <protection/>
    </xf>
    <xf numFmtId="49" fontId="5" fillId="0" borderId="115" xfId="56" applyNumberFormat="1" applyFont="1" applyFill="1" applyBorder="1" applyAlignment="1">
      <alignment horizontal="left"/>
      <protection/>
    </xf>
    <xf numFmtId="49" fontId="5" fillId="0" borderId="106" xfId="56" applyNumberFormat="1" applyFont="1" applyFill="1" applyBorder="1" applyAlignment="1">
      <alignment horizontal="left" indent="1"/>
      <protection/>
    </xf>
    <xf numFmtId="3" fontId="5" fillId="0" borderId="106" xfId="62" applyNumberFormat="1" applyFont="1" applyFill="1" applyBorder="1" applyAlignment="1">
      <alignment horizontal="left"/>
      <protection/>
    </xf>
    <xf numFmtId="0" fontId="5" fillId="0" borderId="106" xfId="56" applyFont="1" applyFill="1" applyBorder="1" applyAlignment="1">
      <alignment horizontal="left"/>
      <protection/>
    </xf>
    <xf numFmtId="49" fontId="5" fillId="0" borderId="111" xfId="56" applyNumberFormat="1" applyFont="1" applyFill="1" applyBorder="1" applyAlignment="1">
      <alignment horizontal="left" indent="1"/>
      <protection/>
    </xf>
    <xf numFmtId="49" fontId="5" fillId="0" borderId="106" xfId="56" applyNumberFormat="1" applyFont="1" applyFill="1" applyBorder="1" applyAlignment="1">
      <alignment horizontal="left"/>
      <protection/>
    </xf>
    <xf numFmtId="3" fontId="5" fillId="0" borderId="115" xfId="62" applyNumberFormat="1" applyFont="1" applyFill="1" applyBorder="1" applyAlignment="1">
      <alignment horizontal="left" wrapText="1"/>
      <protection/>
    </xf>
    <xf numFmtId="49" fontId="22" fillId="0" borderId="106" xfId="56" applyNumberFormat="1" applyFont="1" applyFill="1" applyBorder="1" applyAlignment="1">
      <alignment horizontal="left" indent="1"/>
      <protection/>
    </xf>
    <xf numFmtId="49" fontId="5" fillId="0" borderId="106" xfId="56" applyNumberFormat="1" applyFont="1" applyFill="1" applyBorder="1" applyAlignment="1">
      <alignment horizontal="left" indent="3"/>
      <protection/>
    </xf>
    <xf numFmtId="49" fontId="22" fillId="0" borderId="106" xfId="56" applyNumberFormat="1" applyFont="1" applyFill="1" applyBorder="1" applyAlignment="1">
      <alignment horizontal="left" indent="3"/>
      <protection/>
    </xf>
    <xf numFmtId="0" fontId="5" fillId="0" borderId="106" xfId="56" applyFont="1" applyBorder="1" applyAlignment="1">
      <alignment horizontal="left"/>
      <protection/>
    </xf>
    <xf numFmtId="49" fontId="5" fillId="0" borderId="125" xfId="56" applyNumberFormat="1" applyFont="1" applyFill="1" applyBorder="1" applyAlignment="1">
      <alignment horizontal="left" indent="1"/>
      <protection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left"/>
    </xf>
    <xf numFmtId="3" fontId="9" fillId="0" borderId="0" xfId="62" applyNumberFormat="1" applyFont="1" applyFill="1" applyBorder="1" applyAlignment="1">
      <alignment horizontal="left" wrapText="1"/>
      <protection/>
    </xf>
    <xf numFmtId="49" fontId="22" fillId="0" borderId="0" xfId="56" applyNumberFormat="1" applyFont="1" applyFill="1" applyBorder="1" applyAlignment="1">
      <alignment horizontal="left" indent="1"/>
      <protection/>
    </xf>
    <xf numFmtId="3" fontId="22" fillId="0" borderId="0" xfId="0" applyNumberFormat="1" applyFont="1" applyFill="1" applyBorder="1" applyAlignment="1">
      <alignment/>
    </xf>
    <xf numFmtId="49" fontId="22" fillId="0" borderId="0" xfId="56" applyNumberFormat="1" applyFont="1" applyFill="1" applyBorder="1" applyAlignment="1">
      <alignment horizontal="left" indent="3"/>
      <protection/>
    </xf>
    <xf numFmtId="49" fontId="14" fillId="0" borderId="0" xfId="0" applyNumberFormat="1" applyFont="1" applyBorder="1" applyAlignment="1">
      <alignment/>
    </xf>
    <xf numFmtId="3" fontId="5" fillId="0" borderId="135" xfId="0" applyNumberFormat="1" applyFont="1" applyFill="1" applyBorder="1" applyAlignment="1">
      <alignment/>
    </xf>
    <xf numFmtId="3" fontId="9" fillId="0" borderId="242" xfId="0" applyNumberFormat="1" applyFont="1" applyFill="1" applyBorder="1" applyAlignment="1">
      <alignment/>
    </xf>
    <xf numFmtId="3" fontId="9" fillId="0" borderId="57" xfId="0" applyNumberFormat="1" applyFont="1" applyFill="1" applyBorder="1" applyAlignment="1">
      <alignment/>
    </xf>
    <xf numFmtId="3" fontId="9" fillId="0" borderId="108" xfId="0" applyNumberFormat="1" applyFont="1" applyFill="1" applyBorder="1" applyAlignment="1">
      <alignment/>
    </xf>
    <xf numFmtId="3" fontId="5" fillId="0" borderId="243" xfId="0" applyNumberFormat="1" applyFont="1" applyFill="1" applyBorder="1" applyAlignment="1">
      <alignment/>
    </xf>
    <xf numFmtId="0" fontId="5" fillId="0" borderId="57" xfId="0" applyFont="1" applyFill="1" applyBorder="1" applyAlignment="1">
      <alignment/>
    </xf>
    <xf numFmtId="3" fontId="9" fillId="0" borderId="217" xfId="0" applyNumberFormat="1" applyFont="1" applyFill="1" applyBorder="1" applyAlignment="1">
      <alignment/>
    </xf>
    <xf numFmtId="3" fontId="9" fillId="0" borderId="209" xfId="0" applyNumberFormat="1" applyFont="1" applyFill="1" applyBorder="1" applyAlignment="1">
      <alignment/>
    </xf>
    <xf numFmtId="3" fontId="8" fillId="20" borderId="244" xfId="0" applyNumberFormat="1" applyFont="1" applyFill="1" applyBorder="1" applyAlignment="1">
      <alignment horizontal="right"/>
    </xf>
    <xf numFmtId="3" fontId="9" fillId="4" borderId="245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0" fontId="5" fillId="0" borderId="0" xfId="58" applyFont="1" applyFill="1" applyBorder="1" applyAlignment="1">
      <alignment horizontal="left"/>
      <protection/>
    </xf>
    <xf numFmtId="3" fontId="5" fillId="0" borderId="246" xfId="0" applyNumberFormat="1" applyFont="1" applyFill="1" applyBorder="1" applyAlignment="1">
      <alignment horizontal="center" vertical="center" wrapText="1"/>
    </xf>
    <xf numFmtId="3" fontId="5" fillId="0" borderId="101" xfId="56" applyNumberFormat="1" applyFont="1" applyFill="1" applyBorder="1">
      <alignment/>
      <protection/>
    </xf>
    <xf numFmtId="3" fontId="5" fillId="0" borderId="247" xfId="56" applyNumberFormat="1" applyFont="1" applyFill="1" applyBorder="1">
      <alignment/>
      <protection/>
    </xf>
    <xf numFmtId="3" fontId="5" fillId="0" borderId="104" xfId="56" applyNumberFormat="1" applyFont="1" applyFill="1" applyBorder="1">
      <alignment/>
      <protection/>
    </xf>
    <xf numFmtId="3" fontId="5" fillId="0" borderId="248" xfId="56" applyNumberFormat="1" applyFont="1" applyFill="1" applyBorder="1">
      <alignment/>
      <protection/>
    </xf>
    <xf numFmtId="3" fontId="5" fillId="0" borderId="249" xfId="56" applyNumberFormat="1" applyFont="1" applyFill="1" applyBorder="1">
      <alignment/>
      <protection/>
    </xf>
    <xf numFmtId="3" fontId="5" fillId="0" borderId="120" xfId="0" applyNumberFormat="1" applyFont="1" applyFill="1" applyBorder="1" applyAlignment="1">
      <alignment horizontal="center" vertical="center" wrapText="1"/>
    </xf>
    <xf numFmtId="3" fontId="31" fillId="0" borderId="250" xfId="0" applyNumberFormat="1" applyFont="1" applyFill="1" applyBorder="1" applyAlignment="1">
      <alignment horizontal="right"/>
    </xf>
    <xf numFmtId="3" fontId="31" fillId="0" borderId="251" xfId="0" applyNumberFormat="1" applyFont="1" applyFill="1" applyBorder="1" applyAlignment="1">
      <alignment horizontal="right"/>
    </xf>
    <xf numFmtId="3" fontId="5" fillId="0" borderId="101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0" borderId="122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 horizontal="right"/>
    </xf>
    <xf numFmtId="3" fontId="5" fillId="0" borderId="122" xfId="0" applyNumberFormat="1" applyFont="1" applyFill="1" applyBorder="1" applyAlignment="1">
      <alignment horizontal="right"/>
    </xf>
    <xf numFmtId="3" fontId="5" fillId="0" borderId="252" xfId="0" applyNumberFormat="1" applyFont="1" applyFill="1" applyBorder="1" applyAlignment="1">
      <alignment/>
    </xf>
    <xf numFmtId="3" fontId="5" fillId="0" borderId="253" xfId="0" applyNumberFormat="1" applyFont="1" applyFill="1" applyBorder="1" applyAlignment="1">
      <alignment/>
    </xf>
    <xf numFmtId="49" fontId="18" fillId="0" borderId="124" xfId="0" applyNumberFormat="1" applyFont="1" applyFill="1" applyBorder="1" applyAlignment="1">
      <alignment horizontal="center" vertical="center" wrapText="1"/>
    </xf>
    <xf numFmtId="49" fontId="18" fillId="0" borderId="147" xfId="0" applyNumberFormat="1" applyFont="1" applyFill="1" applyBorder="1" applyAlignment="1">
      <alignment horizontal="center" vertical="center" wrapText="1"/>
    </xf>
    <xf numFmtId="3" fontId="5" fillId="0" borderId="94" xfId="0" applyNumberFormat="1" applyFont="1" applyFill="1" applyBorder="1" applyAlignment="1">
      <alignment horizontal="center" vertical="center" wrapText="1"/>
    </xf>
    <xf numFmtId="3" fontId="5" fillId="0" borderId="254" xfId="0" applyNumberFormat="1" applyFont="1" applyFill="1" applyBorder="1" applyAlignment="1">
      <alignment horizontal="center" vertical="center" wrapText="1"/>
    </xf>
    <xf numFmtId="3" fontId="11" fillId="0" borderId="77" xfId="0" applyNumberFormat="1" applyFont="1" applyFill="1" applyBorder="1" applyAlignment="1">
      <alignment horizontal="center" vertical="center" wrapText="1"/>
    </xf>
    <xf numFmtId="3" fontId="35" fillId="0" borderId="77" xfId="0" applyNumberFormat="1" applyFont="1" applyFill="1" applyBorder="1" applyAlignment="1">
      <alignment horizontal="center" vertical="center" wrapText="1"/>
    </xf>
    <xf numFmtId="3" fontId="30" fillId="0" borderId="255" xfId="0" applyNumberFormat="1" applyFont="1" applyFill="1" applyBorder="1" applyAlignment="1">
      <alignment horizontal="right"/>
    </xf>
    <xf numFmtId="3" fontId="31" fillId="0" borderId="256" xfId="0" applyNumberFormat="1" applyFont="1" applyFill="1" applyBorder="1" applyAlignment="1">
      <alignment horizontal="right"/>
    </xf>
    <xf numFmtId="3" fontId="31" fillId="0" borderId="257" xfId="0" applyNumberFormat="1" applyFont="1" applyFill="1" applyBorder="1" applyAlignment="1">
      <alignment horizontal="right"/>
    </xf>
    <xf numFmtId="3" fontId="9" fillId="0" borderId="141" xfId="0" applyNumberFormat="1" applyFont="1" applyFill="1" applyBorder="1" applyAlignment="1">
      <alignment horizontal="center" vertical="center" wrapText="1"/>
    </xf>
    <xf numFmtId="49" fontId="18" fillId="0" borderId="146" xfId="0" applyNumberFormat="1" applyFont="1" applyFill="1" applyBorder="1" applyAlignment="1">
      <alignment horizontal="center" vertical="center" wrapText="1"/>
    </xf>
    <xf numFmtId="49" fontId="20" fillId="0" borderId="157" xfId="0" applyNumberFormat="1" applyFont="1" applyFill="1" applyBorder="1" applyAlignment="1">
      <alignment horizontal="center" vertical="center" wrapText="1"/>
    </xf>
    <xf numFmtId="49" fontId="34" fillId="0" borderId="157" xfId="0" applyNumberFormat="1" applyFont="1" applyFill="1" applyBorder="1" applyAlignment="1">
      <alignment horizontal="center" vertical="center" wrapText="1"/>
    </xf>
    <xf numFmtId="3" fontId="5" fillId="0" borderId="258" xfId="0" applyNumberFormat="1" applyFont="1" applyFill="1" applyBorder="1" applyAlignment="1">
      <alignment horizontal="center" vertical="center" wrapText="1"/>
    </xf>
    <xf numFmtId="3" fontId="11" fillId="0" borderId="79" xfId="0" applyNumberFormat="1" applyFont="1" applyFill="1" applyBorder="1" applyAlignment="1">
      <alignment horizontal="center" vertical="center" wrapText="1"/>
    </xf>
    <xf numFmtId="3" fontId="35" fillId="0" borderId="79" xfId="0" applyNumberFormat="1" applyFont="1" applyFill="1" applyBorder="1" applyAlignment="1">
      <alignment horizontal="center" vertical="center" wrapText="1"/>
    </xf>
    <xf numFmtId="3" fontId="5" fillId="0" borderId="20" xfId="58" applyNumberFormat="1" applyFont="1" applyFill="1" applyBorder="1" applyAlignment="1">
      <alignment horizontal="right" wrapText="1"/>
      <protection/>
    </xf>
    <xf numFmtId="3" fontId="5" fillId="0" borderId="20" xfId="57" applyNumberFormat="1" applyFont="1" applyFill="1" applyBorder="1" applyAlignment="1">
      <alignment horizontal="right" wrapText="1"/>
      <protection/>
    </xf>
    <xf numFmtId="3" fontId="5" fillId="0" borderId="20" xfId="57" applyNumberFormat="1" applyFont="1" applyFill="1" applyBorder="1" applyAlignment="1">
      <alignment wrapText="1"/>
      <protection/>
    </xf>
    <xf numFmtId="3" fontId="5" fillId="0" borderId="20" xfId="0" applyNumberFormat="1" applyFont="1" applyFill="1" applyBorder="1" applyAlignment="1">
      <alignment wrapText="1"/>
    </xf>
    <xf numFmtId="14" fontId="28" fillId="0" borderId="259" xfId="58" applyNumberFormat="1" applyFont="1" applyFill="1" applyBorder="1" applyAlignment="1">
      <alignment horizontal="left"/>
      <protection/>
    </xf>
    <xf numFmtId="14" fontId="28" fillId="0" borderId="260" xfId="58" applyNumberFormat="1" applyFont="1" applyFill="1" applyBorder="1" applyAlignment="1">
      <alignment horizontal="left"/>
      <protection/>
    </xf>
    <xf numFmtId="3" fontId="28" fillId="0" borderId="261" xfId="58" applyNumberFormat="1" applyFont="1" applyFill="1" applyBorder="1" applyAlignment="1">
      <alignment horizontal="right"/>
      <protection/>
    </xf>
    <xf numFmtId="3" fontId="28" fillId="0" borderId="262" xfId="58" applyNumberFormat="1" applyFont="1" applyFill="1" applyBorder="1" applyAlignment="1">
      <alignment horizontal="right"/>
      <protection/>
    </xf>
    <xf numFmtId="3" fontId="28" fillId="0" borderId="263" xfId="58" applyNumberFormat="1" applyFont="1" applyFill="1" applyBorder="1" applyAlignment="1">
      <alignment horizontal="right"/>
      <protection/>
    </xf>
    <xf numFmtId="3" fontId="28" fillId="0" borderId="264" xfId="58" applyNumberFormat="1" applyFont="1" applyFill="1" applyBorder="1" applyAlignment="1">
      <alignment horizontal="right"/>
      <protection/>
    </xf>
    <xf numFmtId="3" fontId="28" fillId="0" borderId="260" xfId="58" applyNumberFormat="1" applyFont="1" applyFill="1" applyBorder="1" applyAlignment="1">
      <alignment horizontal="right"/>
      <protection/>
    </xf>
    <xf numFmtId="3" fontId="28" fillId="0" borderId="259" xfId="58" applyNumberFormat="1" applyFont="1" applyFill="1" applyBorder="1" applyAlignment="1">
      <alignment horizontal="right"/>
      <protection/>
    </xf>
    <xf numFmtId="3" fontId="28" fillId="0" borderId="265" xfId="58" applyNumberFormat="1" applyFont="1" applyFill="1" applyBorder="1" applyAlignment="1">
      <alignment horizontal="right"/>
      <protection/>
    </xf>
    <xf numFmtId="14" fontId="5" fillId="0" borderId="58" xfId="58" applyNumberFormat="1" applyFont="1" applyFill="1" applyBorder="1" applyAlignment="1">
      <alignment horizontal="left"/>
      <protection/>
    </xf>
    <xf numFmtId="14" fontId="5" fillId="0" borderId="266" xfId="58" applyNumberFormat="1" applyFont="1" applyFill="1" applyBorder="1" applyAlignment="1">
      <alignment horizontal="right"/>
      <protection/>
    </xf>
    <xf numFmtId="3" fontId="5" fillId="0" borderId="232" xfId="58" applyNumberFormat="1" applyFont="1" applyFill="1" applyBorder="1" applyAlignment="1">
      <alignment horizontal="right"/>
      <protection/>
    </xf>
    <xf numFmtId="3" fontId="5" fillId="0" borderId="267" xfId="58" applyNumberFormat="1" applyFont="1" applyFill="1" applyBorder="1" applyAlignment="1">
      <alignment horizontal="right"/>
      <protection/>
    </xf>
    <xf numFmtId="3" fontId="5" fillId="0" borderId="268" xfId="58" applyNumberFormat="1" applyFont="1" applyFill="1" applyBorder="1" applyAlignment="1">
      <alignment horizontal="right"/>
      <protection/>
    </xf>
    <xf numFmtId="3" fontId="5" fillId="0" borderId="269" xfId="58" applyNumberFormat="1" applyFont="1" applyFill="1" applyBorder="1" applyAlignment="1">
      <alignment horizontal="right"/>
      <protection/>
    </xf>
    <xf numFmtId="3" fontId="5" fillId="0" borderId="266" xfId="58" applyNumberFormat="1" applyFont="1" applyFill="1" applyBorder="1" applyAlignment="1">
      <alignment horizontal="right"/>
      <protection/>
    </xf>
    <xf numFmtId="3" fontId="5" fillId="0" borderId="58" xfId="58" applyNumberFormat="1" applyFont="1" applyFill="1" applyBorder="1" applyAlignment="1">
      <alignment horizontal="right"/>
      <protection/>
    </xf>
    <xf numFmtId="3" fontId="5" fillId="0" borderId="223" xfId="58" applyNumberFormat="1" applyFont="1" applyFill="1" applyBorder="1" applyAlignment="1">
      <alignment horizontal="right"/>
      <protection/>
    </xf>
    <xf numFmtId="14" fontId="6" fillId="0" borderId="58" xfId="58" applyNumberFormat="1" applyFont="1" applyFill="1" applyBorder="1" applyAlignment="1">
      <alignment horizontal="left"/>
      <protection/>
    </xf>
    <xf numFmtId="14" fontId="6" fillId="0" borderId="266" xfId="58" applyNumberFormat="1" applyFont="1" applyFill="1" applyBorder="1" applyAlignment="1">
      <alignment horizontal="right"/>
      <protection/>
    </xf>
    <xf numFmtId="3" fontId="6" fillId="0" borderId="232" xfId="58" applyNumberFormat="1" applyFont="1" applyFill="1" applyBorder="1" applyAlignment="1">
      <alignment horizontal="right"/>
      <protection/>
    </xf>
    <xf numFmtId="3" fontId="6" fillId="0" borderId="267" xfId="58" applyNumberFormat="1" applyFont="1" applyFill="1" applyBorder="1" applyAlignment="1">
      <alignment horizontal="right"/>
      <protection/>
    </xf>
    <xf numFmtId="3" fontId="6" fillId="0" borderId="268" xfId="58" applyNumberFormat="1" applyFont="1" applyFill="1" applyBorder="1" applyAlignment="1">
      <alignment horizontal="right"/>
      <protection/>
    </xf>
    <xf numFmtId="3" fontId="6" fillId="0" borderId="269" xfId="58" applyNumberFormat="1" applyFont="1" applyFill="1" applyBorder="1" applyAlignment="1">
      <alignment horizontal="right"/>
      <protection/>
    </xf>
    <xf numFmtId="3" fontId="6" fillId="0" borderId="266" xfId="58" applyNumberFormat="1" applyFont="1" applyFill="1" applyBorder="1" applyAlignment="1">
      <alignment horizontal="right"/>
      <protection/>
    </xf>
    <xf numFmtId="3" fontId="6" fillId="0" borderId="58" xfId="58" applyNumberFormat="1" applyFont="1" applyFill="1" applyBorder="1" applyAlignment="1">
      <alignment horizontal="right"/>
      <protection/>
    </xf>
    <xf numFmtId="3" fontId="6" fillId="0" borderId="223" xfId="58" applyNumberFormat="1" applyFont="1" applyFill="1" applyBorder="1" applyAlignment="1">
      <alignment horizontal="right"/>
      <protection/>
    </xf>
    <xf numFmtId="14" fontId="12" fillId="0" borderId="56" xfId="58" applyNumberFormat="1" applyFont="1" applyFill="1" applyBorder="1" applyAlignment="1">
      <alignment horizontal="left"/>
      <protection/>
    </xf>
    <xf numFmtId="14" fontId="12" fillId="0" borderId="243" xfId="58" applyNumberFormat="1" applyFont="1" applyFill="1" applyBorder="1" applyAlignment="1">
      <alignment horizontal="left"/>
      <protection/>
    </xf>
    <xf numFmtId="3" fontId="12" fillId="0" borderId="127" xfId="58" applyNumberFormat="1" applyFont="1" applyFill="1" applyBorder="1" applyAlignment="1">
      <alignment horizontal="right"/>
      <protection/>
    </xf>
    <xf numFmtId="3" fontId="12" fillId="0" borderId="201" xfId="58" applyNumberFormat="1" applyFont="1" applyFill="1" applyBorder="1" applyAlignment="1">
      <alignment horizontal="right"/>
      <protection/>
    </xf>
    <xf numFmtId="3" fontId="12" fillId="0" borderId="270" xfId="58" applyNumberFormat="1" applyFont="1" applyFill="1" applyBorder="1" applyAlignment="1">
      <alignment horizontal="right"/>
      <protection/>
    </xf>
    <xf numFmtId="3" fontId="12" fillId="0" borderId="126" xfId="58" applyNumberFormat="1" applyFont="1" applyFill="1" applyBorder="1" applyAlignment="1">
      <alignment horizontal="right"/>
      <protection/>
    </xf>
    <xf numFmtId="3" fontId="12" fillId="0" borderId="243" xfId="58" applyNumberFormat="1" applyFont="1" applyFill="1" applyBorder="1" applyAlignment="1">
      <alignment horizontal="right"/>
      <protection/>
    </xf>
    <xf numFmtId="3" fontId="12" fillId="0" borderId="56" xfId="58" applyNumberFormat="1" applyFont="1" applyFill="1" applyBorder="1" applyAlignment="1">
      <alignment horizontal="right"/>
      <protection/>
    </xf>
    <xf numFmtId="3" fontId="12" fillId="0" borderId="271" xfId="58" applyNumberFormat="1" applyFont="1" applyFill="1" applyBorder="1" applyAlignment="1">
      <alignment horizontal="right"/>
      <protection/>
    </xf>
    <xf numFmtId="14" fontId="6" fillId="0" borderId="62" xfId="58" applyNumberFormat="1" applyFont="1" applyFill="1" applyBorder="1" applyAlignment="1">
      <alignment horizontal="left"/>
      <protection/>
    </xf>
    <xf numFmtId="14" fontId="6" fillId="0" borderId="164" xfId="58" applyNumberFormat="1" applyFont="1" applyFill="1" applyBorder="1" applyAlignment="1">
      <alignment horizontal="right"/>
      <protection/>
    </xf>
    <xf numFmtId="3" fontId="6" fillId="0" borderId="206" xfId="58" applyNumberFormat="1" applyFont="1" applyFill="1" applyBorder="1" applyAlignment="1">
      <alignment horizontal="right"/>
      <protection/>
    </xf>
    <xf numFmtId="3" fontId="6" fillId="0" borderId="29" xfId="58" applyNumberFormat="1" applyFont="1" applyFill="1" applyBorder="1" applyAlignment="1">
      <alignment horizontal="right"/>
      <protection/>
    </xf>
    <xf numFmtId="3" fontId="6" fillId="0" borderId="28" xfId="58" applyNumberFormat="1" applyFont="1" applyFill="1" applyBorder="1" applyAlignment="1">
      <alignment horizontal="right"/>
      <protection/>
    </xf>
    <xf numFmtId="3" fontId="6" fillId="0" borderId="40" xfId="58" applyNumberFormat="1" applyFont="1" applyFill="1" applyBorder="1" applyAlignment="1">
      <alignment horizontal="right"/>
      <protection/>
    </xf>
    <xf numFmtId="3" fontId="6" fillId="0" borderId="164" xfId="58" applyNumberFormat="1" applyFont="1" applyFill="1" applyBorder="1" applyAlignment="1">
      <alignment horizontal="right"/>
      <protection/>
    </xf>
    <xf numFmtId="3" fontId="6" fillId="0" borderId="62" xfId="58" applyNumberFormat="1" applyFont="1" applyFill="1" applyBorder="1" applyAlignment="1">
      <alignment horizontal="right"/>
      <protection/>
    </xf>
    <xf numFmtId="3" fontId="6" fillId="0" borderId="162" xfId="58" applyNumberFormat="1" applyFont="1" applyFill="1" applyBorder="1" applyAlignment="1">
      <alignment horizontal="right"/>
      <protection/>
    </xf>
    <xf numFmtId="0" fontId="9" fillId="0" borderId="57" xfId="0" applyFont="1" applyFill="1" applyBorder="1" applyAlignment="1">
      <alignment/>
    </xf>
    <xf numFmtId="3" fontId="9" fillId="0" borderId="209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9" fillId="0" borderId="57" xfId="0" applyNumberFormat="1" applyFont="1" applyFill="1" applyBorder="1" applyAlignment="1">
      <alignment horizontal="right"/>
    </xf>
    <xf numFmtId="3" fontId="9" fillId="0" borderId="65" xfId="0" applyNumberFormat="1" applyFont="1" applyFill="1" applyBorder="1" applyAlignment="1">
      <alignment horizontal="right"/>
    </xf>
    <xf numFmtId="3" fontId="5" fillId="0" borderId="242" xfId="0" applyNumberFormat="1" applyFont="1" applyFill="1" applyBorder="1" applyAlignment="1">
      <alignment horizontal="right"/>
    </xf>
    <xf numFmtId="49" fontId="6" fillId="0" borderId="62" xfId="0" applyNumberFormat="1" applyFont="1" applyFill="1" applyBorder="1" applyAlignment="1">
      <alignment horizontal="left"/>
    </xf>
    <xf numFmtId="49" fontId="6" fillId="0" borderId="57" xfId="56" applyNumberFormat="1" applyFont="1" applyFill="1" applyBorder="1" applyAlignment="1">
      <alignment horizontal="left" indent="1"/>
      <protection/>
    </xf>
    <xf numFmtId="3" fontId="6" fillId="0" borderId="209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242" xfId="0" applyNumberFormat="1" applyFont="1" applyFill="1" applyBorder="1" applyAlignment="1">
      <alignment horizontal="right"/>
    </xf>
    <xf numFmtId="49" fontId="6" fillId="0" borderId="61" xfId="0" applyNumberFormat="1" applyFont="1" applyFill="1" applyBorder="1" applyAlignment="1">
      <alignment horizontal="left"/>
    </xf>
    <xf numFmtId="49" fontId="6" fillId="0" borderId="68" xfId="56" applyNumberFormat="1" applyFont="1" applyFill="1" applyBorder="1" applyAlignment="1">
      <alignment horizontal="left" indent="1"/>
      <protection/>
    </xf>
    <xf numFmtId="3" fontId="6" fillId="0" borderId="220" xfId="0" applyNumberFormat="1" applyFont="1" applyFill="1" applyBorder="1" applyAlignment="1">
      <alignment horizontal="right"/>
    </xf>
    <xf numFmtId="3" fontId="6" fillId="0" borderId="72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right"/>
    </xf>
    <xf numFmtId="3" fontId="6" fillId="0" borderId="27" xfId="0" applyNumberFormat="1" applyFont="1" applyFill="1" applyBorder="1" applyAlignment="1">
      <alignment horizontal="right"/>
    </xf>
    <xf numFmtId="3" fontId="6" fillId="0" borderId="70" xfId="0" applyNumberFormat="1" applyFont="1" applyFill="1" applyBorder="1" applyAlignment="1">
      <alignment horizontal="right"/>
    </xf>
    <xf numFmtId="3" fontId="6" fillId="0" borderId="190" xfId="0" applyNumberFormat="1" applyFont="1" applyFill="1" applyBorder="1" applyAlignment="1">
      <alignment horizontal="right"/>
    </xf>
    <xf numFmtId="3" fontId="6" fillId="0" borderId="59" xfId="0" applyNumberFormat="1" applyFont="1" applyFill="1" applyBorder="1" applyAlignment="1">
      <alignment horizontal="right"/>
    </xf>
    <xf numFmtId="3" fontId="6" fillId="0" borderId="272" xfId="0" applyNumberFormat="1" applyFont="1" applyFill="1" applyBorder="1" applyAlignment="1">
      <alignment horizontal="right"/>
    </xf>
    <xf numFmtId="3" fontId="6" fillId="0" borderId="0" xfId="58" applyNumberFormat="1" applyFont="1" applyFill="1" applyBorder="1" applyAlignment="1">
      <alignment horizontal="right"/>
      <protection/>
    </xf>
    <xf numFmtId="3" fontId="12" fillId="0" borderId="273" xfId="58" applyNumberFormat="1" applyFont="1" applyFill="1" applyBorder="1" applyAlignment="1">
      <alignment horizontal="right"/>
      <protection/>
    </xf>
    <xf numFmtId="3" fontId="6" fillId="0" borderId="155" xfId="58" applyNumberFormat="1" applyFont="1" applyFill="1" applyBorder="1" applyAlignment="1">
      <alignment horizontal="right"/>
      <protection/>
    </xf>
    <xf numFmtId="3" fontId="9" fillId="0" borderId="98" xfId="0" applyNumberFormat="1" applyFont="1" applyFill="1" applyBorder="1" applyAlignment="1">
      <alignment/>
    </xf>
    <xf numFmtId="3" fontId="9" fillId="0" borderId="97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49" fontId="10" fillId="0" borderId="58" xfId="58" applyNumberFormat="1" applyFont="1" applyFill="1" applyBorder="1" applyAlignment="1">
      <alignment horizontal="left"/>
      <protection/>
    </xf>
    <xf numFmtId="49" fontId="6" fillId="0" borderId="58" xfId="58" applyNumberFormat="1" applyFont="1" applyFill="1" applyBorder="1" applyAlignment="1">
      <alignment horizontal="left"/>
      <protection/>
    </xf>
    <xf numFmtId="3" fontId="6" fillId="0" borderId="209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49" fontId="6" fillId="0" borderId="58" xfId="0" applyNumberFormat="1" applyFont="1" applyFill="1" applyBorder="1" applyAlignment="1">
      <alignment horizontal="left"/>
    </xf>
    <xf numFmtId="3" fontId="6" fillId="0" borderId="2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49" fontId="18" fillId="0" borderId="166" xfId="0" applyNumberFormat="1" applyFont="1" applyFill="1" applyBorder="1" applyAlignment="1">
      <alignment horizontal="center" vertical="center" wrapText="1"/>
    </xf>
    <xf numFmtId="3" fontId="28" fillId="0" borderId="274" xfId="58" applyNumberFormat="1" applyFont="1" applyFill="1" applyBorder="1" applyAlignment="1">
      <alignment horizontal="right"/>
      <protection/>
    </xf>
    <xf numFmtId="49" fontId="9" fillId="0" borderId="56" xfId="58" applyNumberFormat="1" applyFont="1" applyFill="1" applyBorder="1" applyAlignment="1">
      <alignment horizontal="left"/>
      <protection/>
    </xf>
    <xf numFmtId="3" fontId="9" fillId="0" borderId="57" xfId="60" applyNumberFormat="1" applyFont="1" applyFill="1" applyBorder="1" applyAlignment="1">
      <alignment horizontal="left"/>
      <protection/>
    </xf>
    <xf numFmtId="3" fontId="9" fillId="0" borderId="217" xfId="60" applyNumberFormat="1" applyFont="1" applyFill="1" applyBorder="1" applyAlignment="1">
      <alignment horizontal="right"/>
      <protection/>
    </xf>
    <xf numFmtId="3" fontId="9" fillId="0" borderId="97" xfId="60" applyNumberFormat="1" applyFont="1" applyFill="1" applyBorder="1" applyAlignment="1">
      <alignment horizontal="right"/>
      <protection/>
    </xf>
    <xf numFmtId="3" fontId="9" fillId="0" borderId="165" xfId="60" applyNumberFormat="1" applyFont="1" applyFill="1" applyBorder="1" applyAlignment="1">
      <alignment horizontal="right"/>
      <protection/>
    </xf>
    <xf numFmtId="3" fontId="9" fillId="0" borderId="17" xfId="60" applyNumberFormat="1" applyFont="1" applyFill="1" applyBorder="1" applyAlignment="1">
      <alignment horizontal="right"/>
      <protection/>
    </xf>
    <xf numFmtId="49" fontId="7" fillId="0" borderId="58" xfId="0" applyNumberFormat="1" applyFont="1" applyFill="1" applyBorder="1" applyAlignment="1">
      <alignment/>
    </xf>
    <xf numFmtId="3" fontId="5" fillId="0" borderId="209" xfId="56" applyNumberFormat="1" applyFont="1" applyFill="1" applyBorder="1" applyAlignment="1">
      <alignment horizontal="right" indent="1"/>
      <protection/>
    </xf>
    <xf numFmtId="3" fontId="5" fillId="0" borderId="135" xfId="56" applyNumberFormat="1" applyFont="1" applyFill="1" applyBorder="1">
      <alignment/>
      <protection/>
    </xf>
    <xf numFmtId="49" fontId="15" fillId="0" borderId="58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35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/>
    </xf>
    <xf numFmtId="49" fontId="9" fillId="0" borderId="58" xfId="56" applyNumberFormat="1" applyFont="1" applyFill="1" applyBorder="1" applyAlignment="1">
      <alignment horizontal="left"/>
      <protection/>
    </xf>
    <xf numFmtId="3" fontId="9" fillId="0" borderId="57" xfId="60" applyNumberFormat="1" applyFont="1" applyFill="1" applyBorder="1" applyAlignment="1">
      <alignment horizontal="left" wrapText="1"/>
      <protection/>
    </xf>
    <xf numFmtId="3" fontId="9" fillId="0" borderId="209" xfId="60" applyNumberFormat="1" applyFont="1" applyFill="1" applyBorder="1" applyAlignment="1">
      <alignment horizontal="right"/>
      <protection/>
    </xf>
    <xf numFmtId="3" fontId="9" fillId="0" borderId="20" xfId="60" applyNumberFormat="1" applyFont="1" applyFill="1" applyBorder="1" applyAlignment="1">
      <alignment horizontal="right"/>
      <protection/>
    </xf>
    <xf numFmtId="3" fontId="9" fillId="0" borderId="135" xfId="60" applyNumberFormat="1" applyFont="1" applyFill="1" applyBorder="1" applyAlignment="1">
      <alignment horizontal="right"/>
      <protection/>
    </xf>
    <xf numFmtId="3" fontId="9" fillId="0" borderId="11" xfId="60" applyNumberFormat="1" applyFont="1" applyFill="1" applyBorder="1" applyAlignment="1">
      <alignment horizontal="right"/>
      <protection/>
    </xf>
    <xf numFmtId="49" fontId="7" fillId="0" borderId="58" xfId="56" applyNumberFormat="1" applyFont="1" applyFill="1" applyBorder="1" applyAlignment="1">
      <alignment horizontal="left"/>
      <protection/>
    </xf>
    <xf numFmtId="49" fontId="15" fillId="0" borderId="62" xfId="56" applyNumberFormat="1" applyFont="1" applyFill="1" applyBorder="1" applyAlignment="1">
      <alignment horizontal="left"/>
      <protection/>
    </xf>
    <xf numFmtId="3" fontId="6" fillId="0" borderId="219" xfId="56" applyNumberFormat="1" applyFont="1" applyFill="1" applyBorder="1" applyAlignment="1">
      <alignment horizontal="right" indent="1"/>
      <protection/>
    </xf>
    <xf numFmtId="3" fontId="6" fillId="0" borderId="21" xfId="0" applyNumberFormat="1" applyFont="1" applyFill="1" applyBorder="1" applyAlignment="1">
      <alignment/>
    </xf>
    <xf numFmtId="3" fontId="6" fillId="0" borderId="172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08" xfId="0" applyNumberFormat="1" applyFont="1" applyFill="1" applyBorder="1" applyAlignment="1">
      <alignment/>
    </xf>
    <xf numFmtId="3" fontId="9" fillId="0" borderId="208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49" fontId="6" fillId="0" borderId="58" xfId="58" applyNumberFormat="1" applyFont="1" applyFill="1" applyBorder="1" applyAlignment="1">
      <alignment horizontal="left"/>
      <protection/>
    </xf>
    <xf numFmtId="3" fontId="6" fillId="0" borderId="217" xfId="56" applyNumberFormat="1" applyFont="1" applyFill="1" applyBorder="1" applyAlignment="1">
      <alignment horizontal="right" indent="1"/>
      <protection/>
    </xf>
    <xf numFmtId="3" fontId="6" fillId="0" borderId="97" xfId="0" applyNumberFormat="1" applyFont="1" applyFill="1" applyBorder="1" applyAlignment="1">
      <alignment/>
    </xf>
    <xf numFmtId="3" fontId="6" fillId="0" borderId="165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/>
    </xf>
    <xf numFmtId="3" fontId="9" fillId="0" borderId="135" xfId="0" applyNumberFormat="1" applyFont="1" applyFill="1" applyBorder="1" applyAlignment="1">
      <alignment/>
    </xf>
    <xf numFmtId="49" fontId="6" fillId="0" borderId="58" xfId="56" applyNumberFormat="1" applyFont="1" applyFill="1" applyBorder="1" applyAlignment="1">
      <alignment horizontal="left"/>
      <protection/>
    </xf>
    <xf numFmtId="49" fontId="6" fillId="0" borderId="275" xfId="56" applyNumberFormat="1" applyFont="1" applyFill="1" applyBorder="1" applyAlignment="1">
      <alignment horizontal="left" indent="1"/>
      <protection/>
    </xf>
    <xf numFmtId="3" fontId="6" fillId="0" borderId="276" xfId="56" applyNumberFormat="1" applyFont="1" applyFill="1" applyBorder="1" applyAlignment="1">
      <alignment horizontal="right" indent="1"/>
      <protection/>
    </xf>
    <xf numFmtId="3" fontId="6" fillId="0" borderId="277" xfId="0" applyNumberFormat="1" applyFont="1" applyFill="1" applyBorder="1" applyAlignment="1">
      <alignment/>
    </xf>
    <xf numFmtId="3" fontId="6" fillId="0" borderId="278" xfId="0" applyNumberFormat="1" applyFont="1" applyFill="1" applyBorder="1" applyAlignment="1">
      <alignment/>
    </xf>
    <xf numFmtId="3" fontId="6" fillId="0" borderId="279" xfId="0" applyNumberFormat="1" applyFont="1" applyFill="1" applyBorder="1" applyAlignment="1">
      <alignment/>
    </xf>
    <xf numFmtId="3" fontId="9" fillId="0" borderId="280" xfId="60" applyNumberFormat="1" applyFont="1" applyFill="1" applyBorder="1" applyAlignment="1">
      <alignment horizontal="left" wrapText="1"/>
      <protection/>
    </xf>
    <xf numFmtId="3" fontId="9" fillId="0" borderId="281" xfId="0" applyNumberFormat="1" applyFont="1" applyFill="1" applyBorder="1" applyAlignment="1">
      <alignment/>
    </xf>
    <xf numFmtId="3" fontId="9" fillId="0" borderId="282" xfId="0" applyNumberFormat="1" applyFont="1" applyFill="1" applyBorder="1" applyAlignment="1">
      <alignment/>
    </xf>
    <xf numFmtId="3" fontId="9" fillId="0" borderId="283" xfId="0" applyNumberFormat="1" applyFont="1" applyFill="1" applyBorder="1" applyAlignment="1">
      <alignment/>
    </xf>
    <xf numFmtId="3" fontId="9" fillId="0" borderId="284" xfId="0" applyNumberFormat="1" applyFont="1" applyFill="1" applyBorder="1" applyAlignment="1">
      <alignment/>
    </xf>
    <xf numFmtId="3" fontId="9" fillId="0" borderId="285" xfId="0" applyNumberFormat="1" applyFont="1" applyFill="1" applyBorder="1" applyAlignment="1">
      <alignment/>
    </xf>
    <xf numFmtId="49" fontId="6" fillId="0" borderId="61" xfId="56" applyNumberFormat="1" applyFont="1" applyFill="1" applyBorder="1" applyAlignment="1">
      <alignment horizontal="left"/>
      <protection/>
    </xf>
    <xf numFmtId="3" fontId="6" fillId="0" borderId="220" xfId="56" applyNumberFormat="1" applyFont="1" applyFill="1" applyBorder="1" applyAlignment="1">
      <alignment horizontal="right" indent="1"/>
      <protection/>
    </xf>
    <xf numFmtId="3" fontId="6" fillId="0" borderId="26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184" xfId="0" applyNumberFormat="1" applyFont="1" applyFill="1" applyBorder="1" applyAlignment="1">
      <alignment/>
    </xf>
    <xf numFmtId="3" fontId="6" fillId="0" borderId="70" xfId="0" applyNumberFormat="1" applyFont="1" applyFill="1" applyBorder="1" applyAlignment="1">
      <alignment/>
    </xf>
    <xf numFmtId="3" fontId="6" fillId="0" borderId="59" xfId="0" applyNumberFormat="1" applyFont="1" applyFill="1" applyBorder="1" applyAlignment="1">
      <alignment/>
    </xf>
    <xf numFmtId="3" fontId="6" fillId="0" borderId="59" xfId="0" applyNumberFormat="1" applyFont="1" applyFill="1" applyBorder="1" applyAlignment="1">
      <alignment/>
    </xf>
    <xf numFmtId="3" fontId="6" fillId="0" borderId="68" xfId="0" applyNumberFormat="1" applyFont="1" applyFill="1" applyBorder="1" applyAlignment="1">
      <alignment/>
    </xf>
    <xf numFmtId="3" fontId="9" fillId="0" borderId="144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64" xfId="0" applyNumberFormat="1" applyFont="1" applyFill="1" applyBorder="1" applyAlignment="1">
      <alignment/>
    </xf>
    <xf numFmtId="49" fontId="18" fillId="0" borderId="156" xfId="0" applyNumberFormat="1" applyFont="1" applyFill="1" applyBorder="1" applyAlignment="1">
      <alignment horizontal="center" vertical="center" wrapText="1"/>
    </xf>
    <xf numFmtId="3" fontId="5" fillId="0" borderId="104" xfId="57" applyNumberFormat="1" applyFont="1" applyFill="1" applyBorder="1" applyAlignment="1">
      <alignment horizontal="right"/>
      <protection/>
    </xf>
    <xf numFmtId="3" fontId="5" fillId="0" borderId="85" xfId="57" applyNumberFormat="1" applyFont="1" applyFill="1" applyBorder="1" applyAlignment="1">
      <alignment horizontal="right"/>
      <protection/>
    </xf>
    <xf numFmtId="3" fontId="5" fillId="0" borderId="30" xfId="0" applyNumberFormat="1" applyFont="1" applyFill="1" applyBorder="1" applyAlignment="1">
      <alignment/>
    </xf>
    <xf numFmtId="3" fontId="5" fillId="0" borderId="122" xfId="0" applyNumberFormat="1" applyFont="1" applyFill="1" applyBorder="1" applyAlignment="1">
      <alignment/>
    </xf>
    <xf numFmtId="3" fontId="5" fillId="0" borderId="249" xfId="0" applyNumberFormat="1" applyFont="1" applyFill="1" applyBorder="1" applyAlignment="1">
      <alignment/>
    </xf>
    <xf numFmtId="3" fontId="5" fillId="0" borderId="286" xfId="0" applyNumberFormat="1" applyFont="1" applyFill="1" applyBorder="1" applyAlignment="1">
      <alignment/>
    </xf>
    <xf numFmtId="49" fontId="18" fillId="0" borderId="141" xfId="0" applyNumberFormat="1" applyFont="1" applyFill="1" applyBorder="1" applyAlignment="1">
      <alignment horizontal="center" vertical="center" wrapText="1"/>
    </xf>
    <xf numFmtId="14" fontId="28" fillId="0" borderId="287" xfId="58" applyNumberFormat="1" applyFont="1" applyFill="1" applyBorder="1" applyAlignment="1">
      <alignment horizontal="left"/>
      <protection/>
    </xf>
    <xf numFmtId="14" fontId="28" fillId="0" borderId="288" xfId="58" applyNumberFormat="1" applyFont="1" applyFill="1" applyBorder="1" applyAlignment="1">
      <alignment horizontal="left"/>
      <protection/>
    </xf>
    <xf numFmtId="3" fontId="28" fillId="0" borderId="289" xfId="58" applyNumberFormat="1" applyFont="1" applyFill="1" applyBorder="1" applyAlignment="1">
      <alignment horizontal="right"/>
      <protection/>
    </xf>
    <xf numFmtId="3" fontId="28" fillId="0" borderId="290" xfId="58" applyNumberFormat="1" applyFont="1" applyFill="1" applyBorder="1" applyAlignment="1">
      <alignment horizontal="right"/>
      <protection/>
    </xf>
    <xf numFmtId="3" fontId="28" fillId="0" borderId="291" xfId="58" applyNumberFormat="1" applyFont="1" applyFill="1" applyBorder="1" applyAlignment="1">
      <alignment horizontal="right"/>
      <protection/>
    </xf>
    <xf numFmtId="3" fontId="28" fillId="0" borderId="292" xfId="58" applyNumberFormat="1" applyFont="1" applyFill="1" applyBorder="1" applyAlignment="1">
      <alignment horizontal="right"/>
      <protection/>
    </xf>
    <xf numFmtId="14" fontId="5" fillId="0" borderId="44" xfId="58" applyNumberFormat="1" applyFont="1" applyFill="1" applyBorder="1" applyAlignment="1">
      <alignment horizontal="left"/>
      <protection/>
    </xf>
    <xf numFmtId="14" fontId="5" fillId="0" borderId="293" xfId="58" applyNumberFormat="1" applyFont="1" applyFill="1" applyBorder="1" applyAlignment="1">
      <alignment horizontal="right"/>
      <protection/>
    </xf>
    <xf numFmtId="3" fontId="5" fillId="0" borderId="294" xfId="58" applyNumberFormat="1" applyFont="1" applyFill="1" applyBorder="1" applyAlignment="1">
      <alignment horizontal="right"/>
      <protection/>
    </xf>
    <xf numFmtId="3" fontId="5" fillId="0" borderId="123" xfId="58" applyNumberFormat="1" applyFont="1" applyFill="1" applyBorder="1" applyAlignment="1">
      <alignment horizontal="right"/>
      <protection/>
    </xf>
    <xf numFmtId="3" fontId="5" fillId="0" borderId="116" xfId="58" applyNumberFormat="1" applyFont="1" applyFill="1" applyBorder="1" applyAlignment="1">
      <alignment horizontal="right"/>
      <protection/>
    </xf>
    <xf numFmtId="3" fontId="5" fillId="0" borderId="117" xfId="58" applyNumberFormat="1" applyFont="1" applyFill="1" applyBorder="1" applyAlignment="1">
      <alignment horizontal="right"/>
      <protection/>
    </xf>
    <xf numFmtId="14" fontId="6" fillId="0" borderId="44" xfId="58" applyNumberFormat="1" applyFont="1" applyFill="1" applyBorder="1" applyAlignment="1">
      <alignment horizontal="left"/>
      <protection/>
    </xf>
    <xf numFmtId="14" fontId="6" fillId="0" borderId="293" xfId="58" applyNumberFormat="1" applyFont="1" applyFill="1" applyBorder="1" applyAlignment="1">
      <alignment horizontal="right"/>
      <protection/>
    </xf>
    <xf numFmtId="3" fontId="6" fillId="0" borderId="294" xfId="58" applyNumberFormat="1" applyFont="1" applyFill="1" applyBorder="1" applyAlignment="1">
      <alignment horizontal="right"/>
      <protection/>
    </xf>
    <xf numFmtId="3" fontId="6" fillId="0" borderId="123" xfId="58" applyNumberFormat="1" applyFont="1" applyFill="1" applyBorder="1" applyAlignment="1">
      <alignment horizontal="right"/>
      <protection/>
    </xf>
    <xf numFmtId="3" fontId="6" fillId="0" borderId="116" xfId="58" applyNumberFormat="1" applyFont="1" applyFill="1" applyBorder="1" applyAlignment="1">
      <alignment horizontal="right"/>
      <protection/>
    </xf>
    <xf numFmtId="3" fontId="6" fillId="0" borderId="117" xfId="58" applyNumberFormat="1" applyFont="1" applyFill="1" applyBorder="1" applyAlignment="1">
      <alignment horizontal="right"/>
      <protection/>
    </xf>
    <xf numFmtId="14" fontId="12" fillId="0" borderId="43" xfId="58" applyNumberFormat="1" applyFont="1" applyFill="1" applyBorder="1" applyAlignment="1">
      <alignment horizontal="left"/>
      <protection/>
    </xf>
    <xf numFmtId="14" fontId="12" fillId="0" borderId="200" xfId="58" applyNumberFormat="1" applyFont="1" applyFill="1" applyBorder="1" applyAlignment="1">
      <alignment horizontal="left"/>
      <protection/>
    </xf>
    <xf numFmtId="3" fontId="12" fillId="0" borderId="295" xfId="58" applyNumberFormat="1" applyFont="1" applyFill="1" applyBorder="1" applyAlignment="1">
      <alignment horizontal="right"/>
      <protection/>
    </xf>
    <xf numFmtId="3" fontId="12" fillId="0" borderId="198" xfId="58" applyNumberFormat="1" applyFont="1" applyFill="1" applyBorder="1" applyAlignment="1">
      <alignment horizontal="right"/>
      <protection/>
    </xf>
    <xf numFmtId="3" fontId="12" fillId="0" borderId="199" xfId="58" applyNumberFormat="1" applyFont="1" applyFill="1" applyBorder="1" applyAlignment="1">
      <alignment horizontal="right"/>
      <protection/>
    </xf>
    <xf numFmtId="3" fontId="12" fillId="0" borderId="296" xfId="58" applyNumberFormat="1" applyFont="1" applyFill="1" applyBorder="1" applyAlignment="1">
      <alignment horizontal="right"/>
      <protection/>
    </xf>
    <xf numFmtId="14" fontId="6" fillId="0" borderId="41" xfId="58" applyNumberFormat="1" applyFont="1" applyFill="1" applyBorder="1" applyAlignment="1">
      <alignment horizontal="left"/>
      <protection/>
    </xf>
    <xf numFmtId="14" fontId="6" fillId="0" borderId="138" xfId="58" applyNumberFormat="1" applyFont="1" applyFill="1" applyBorder="1" applyAlignment="1">
      <alignment horizontal="right"/>
      <protection/>
    </xf>
    <xf numFmtId="3" fontId="6" fillId="0" borderId="154" xfId="58" applyNumberFormat="1" applyFont="1" applyFill="1" applyBorder="1" applyAlignment="1">
      <alignment horizontal="right"/>
      <protection/>
    </xf>
    <xf numFmtId="3" fontId="6" fillId="0" borderId="80" xfId="58" applyNumberFormat="1" applyFont="1" applyFill="1" applyBorder="1" applyAlignment="1">
      <alignment horizontal="right"/>
      <protection/>
    </xf>
    <xf numFmtId="3" fontId="6" fillId="0" borderId="81" xfId="58" applyNumberFormat="1" applyFont="1" applyFill="1" applyBorder="1" applyAlignment="1">
      <alignment horizontal="right"/>
      <protection/>
    </xf>
    <xf numFmtId="3" fontId="6" fillId="0" borderId="99" xfId="58" applyNumberFormat="1" applyFont="1" applyFill="1" applyBorder="1" applyAlignment="1">
      <alignment horizontal="right"/>
      <protection/>
    </xf>
    <xf numFmtId="49" fontId="9" fillId="0" borderId="44" xfId="0" applyNumberFormat="1" applyFont="1" applyFill="1" applyBorder="1" applyAlignment="1">
      <alignment/>
    </xf>
    <xf numFmtId="3" fontId="9" fillId="0" borderId="91" xfId="0" applyNumberFormat="1" applyFont="1" applyFill="1" applyBorder="1" applyAlignment="1">
      <alignment horizontal="right"/>
    </xf>
    <xf numFmtId="3" fontId="9" fillId="0" borderId="101" xfId="0" applyNumberFormat="1" applyFont="1" applyFill="1" applyBorder="1" applyAlignment="1">
      <alignment horizontal="right"/>
    </xf>
    <xf numFmtId="3" fontId="9" fillId="0" borderId="144" xfId="0" applyNumberFormat="1" applyFont="1" applyFill="1" applyBorder="1" applyAlignment="1">
      <alignment horizontal="right"/>
    </xf>
    <xf numFmtId="3" fontId="9" fillId="0" borderId="90" xfId="0" applyNumberFormat="1" applyFont="1" applyFill="1" applyBorder="1" applyAlignment="1">
      <alignment horizontal="right"/>
    </xf>
    <xf numFmtId="3" fontId="5" fillId="0" borderId="30" xfId="57" applyNumberFormat="1" applyFont="1" applyFill="1" applyBorder="1" applyAlignment="1">
      <alignment horizontal="right"/>
      <protection/>
    </xf>
    <xf numFmtId="3" fontId="5" fillId="0" borderId="122" xfId="57" applyNumberFormat="1" applyFont="1" applyFill="1" applyBorder="1" applyAlignment="1">
      <alignment horizontal="right"/>
      <protection/>
    </xf>
    <xf numFmtId="3" fontId="5" fillId="0" borderId="135" xfId="57" applyNumberFormat="1" applyFont="1" applyFill="1" applyBorder="1" applyAlignment="1">
      <alignment horizontal="right"/>
      <protection/>
    </xf>
    <xf numFmtId="3" fontId="5" fillId="0" borderId="86" xfId="57" applyNumberFormat="1" applyFont="1" applyFill="1" applyBorder="1" applyAlignment="1">
      <alignment horizontal="right"/>
      <protection/>
    </xf>
    <xf numFmtId="3" fontId="5" fillId="0" borderId="106" xfId="57" applyNumberFormat="1" applyFont="1" applyFill="1" applyBorder="1" applyAlignment="1">
      <alignment horizontal="right"/>
      <protection/>
    </xf>
    <xf numFmtId="49" fontId="6" fillId="0" borderId="46" xfId="58" applyNumberFormat="1" applyFont="1" applyFill="1" applyBorder="1" applyAlignment="1">
      <alignment horizontal="left"/>
      <protection/>
    </xf>
    <xf numFmtId="3" fontId="6" fillId="0" borderId="249" xfId="57" applyNumberFormat="1" applyFont="1" applyFill="1" applyBorder="1" applyAlignment="1">
      <alignment horizontal="right"/>
      <protection/>
    </xf>
    <xf numFmtId="3" fontId="6" fillId="0" borderId="286" xfId="57" applyNumberFormat="1" applyFont="1" applyFill="1" applyBorder="1" applyAlignment="1">
      <alignment horizontal="right"/>
      <protection/>
    </xf>
    <xf numFmtId="3" fontId="6" fillId="0" borderId="159" xfId="57" applyNumberFormat="1" applyFont="1" applyFill="1" applyBorder="1" applyAlignment="1">
      <alignment horizontal="right"/>
      <protection/>
    </xf>
    <xf numFmtId="3" fontId="6" fillId="0" borderId="102" xfId="57" applyNumberFormat="1" applyFont="1" applyFill="1" applyBorder="1" applyAlignment="1">
      <alignment horizontal="right"/>
      <protection/>
    </xf>
    <xf numFmtId="3" fontId="6" fillId="0" borderId="95" xfId="57" applyNumberFormat="1" applyFont="1" applyFill="1" applyBorder="1" applyAlignment="1">
      <alignment horizontal="right"/>
      <protection/>
    </xf>
    <xf numFmtId="3" fontId="5" fillId="0" borderId="95" xfId="57" applyNumberFormat="1" applyFont="1" applyFill="1" applyBorder="1" applyAlignment="1">
      <alignment horizontal="right"/>
      <protection/>
    </xf>
    <xf numFmtId="3" fontId="6" fillId="0" borderId="125" xfId="57" applyNumberFormat="1" applyFont="1" applyFill="1" applyBorder="1" applyAlignment="1">
      <alignment horizontal="right"/>
      <protection/>
    </xf>
    <xf numFmtId="3" fontId="9" fillId="0" borderId="101" xfId="0" applyNumberFormat="1" applyFont="1" applyFill="1" applyBorder="1" applyAlignment="1">
      <alignment/>
    </xf>
    <xf numFmtId="3" fontId="9" fillId="0" borderId="91" xfId="0" applyNumberFormat="1" applyFont="1" applyFill="1" applyBorder="1" applyAlignment="1">
      <alignment/>
    </xf>
    <xf numFmtId="3" fontId="9" fillId="0" borderId="9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1" xfId="58" applyNumberFormat="1" applyFont="1" applyFill="1" applyBorder="1" applyAlignment="1">
      <alignment horizontal="right"/>
      <protection/>
    </xf>
    <xf numFmtId="3" fontId="5" fillId="0" borderId="16" xfId="58" applyNumberFormat="1" applyFont="1" applyFill="1" applyBorder="1" applyAlignment="1">
      <alignment horizontal="right"/>
      <protection/>
    </xf>
    <xf numFmtId="3" fontId="5" fillId="0" borderId="208" xfId="58" applyNumberFormat="1" applyFont="1" applyFill="1" applyBorder="1" applyAlignment="1">
      <alignment/>
      <protection/>
    </xf>
    <xf numFmtId="3" fontId="5" fillId="0" borderId="209" xfId="61" applyNumberFormat="1" applyFont="1" applyFill="1" applyBorder="1" applyAlignment="1">
      <alignment/>
      <protection/>
    </xf>
    <xf numFmtId="3" fontId="5" fillId="0" borderId="219" xfId="61" applyNumberFormat="1" applyFont="1" applyFill="1" applyBorder="1" applyAlignment="1">
      <alignment/>
      <protection/>
    </xf>
    <xf numFmtId="3" fontId="5" fillId="0" borderId="218" xfId="60" applyNumberFormat="1" applyFont="1" applyFill="1" applyBorder="1" applyAlignment="1">
      <alignment/>
      <protection/>
    </xf>
    <xf numFmtId="3" fontId="5" fillId="0" borderId="217" xfId="58" applyNumberFormat="1" applyFont="1" applyFill="1" applyBorder="1" applyAlignment="1">
      <alignment horizontal="right"/>
      <protection/>
    </xf>
    <xf numFmtId="3" fontId="5" fillId="0" borderId="218" xfId="58" applyNumberFormat="1" applyFont="1" applyFill="1" applyBorder="1" applyAlignment="1">
      <alignment horizontal="right"/>
      <protection/>
    </xf>
    <xf numFmtId="3" fontId="9" fillId="0" borderId="224" xfId="0" applyNumberFormat="1" applyFont="1" applyFill="1" applyBorder="1" applyAlignment="1">
      <alignment/>
    </xf>
    <xf numFmtId="3" fontId="6" fillId="0" borderId="225" xfId="60" applyNumberFormat="1" applyFont="1" applyFill="1" applyBorder="1" applyAlignment="1">
      <alignment horizontal="right"/>
      <protection/>
    </xf>
    <xf numFmtId="3" fontId="9" fillId="23" borderId="207" xfId="58" applyNumberFormat="1" applyFont="1" applyFill="1" applyBorder="1" applyAlignment="1">
      <alignment/>
      <protection/>
    </xf>
    <xf numFmtId="3" fontId="6" fillId="0" borderId="209" xfId="56" applyNumberFormat="1" applyFont="1" applyFill="1" applyBorder="1" applyAlignment="1">
      <alignment/>
      <protection/>
    </xf>
    <xf numFmtId="3" fontId="5" fillId="0" borderId="297" xfId="58" applyNumberFormat="1" applyFont="1" applyFill="1" applyBorder="1" applyAlignment="1">
      <alignment/>
      <protection/>
    </xf>
    <xf numFmtId="3" fontId="5" fillId="0" borderId="218" xfId="58" applyNumberFormat="1" applyFont="1" applyFill="1" applyBorder="1" applyAlignment="1">
      <alignment/>
      <protection/>
    </xf>
    <xf numFmtId="3" fontId="5" fillId="0" borderId="25" xfId="56" applyNumberFormat="1" applyFont="1" applyFill="1" applyBorder="1">
      <alignment/>
      <protection/>
    </xf>
    <xf numFmtId="3" fontId="5" fillId="0" borderId="185" xfId="0" applyNumberFormat="1" applyFont="1" applyFill="1" applyBorder="1" applyAlignment="1">
      <alignment/>
    </xf>
    <xf numFmtId="3" fontId="5" fillId="0" borderId="20" xfId="56" applyNumberFormat="1" applyFont="1" applyFill="1" applyBorder="1" applyAlignment="1">
      <alignment horizontal="right" indent="1"/>
      <protection/>
    </xf>
    <xf numFmtId="49" fontId="6" fillId="0" borderId="61" xfId="58" applyNumberFormat="1" applyFont="1" applyFill="1" applyBorder="1" applyAlignment="1">
      <alignment horizontal="left"/>
      <protection/>
    </xf>
    <xf numFmtId="3" fontId="6" fillId="0" borderId="192" xfId="56" applyNumberFormat="1" applyFont="1" applyFill="1" applyBorder="1" applyAlignment="1">
      <alignment horizontal="right" indent="1"/>
      <protection/>
    </xf>
    <xf numFmtId="3" fontId="6" fillId="0" borderId="298" xfId="0" applyNumberFormat="1" applyFont="1" applyFill="1" applyBorder="1" applyAlignment="1">
      <alignment/>
    </xf>
    <xf numFmtId="3" fontId="6" fillId="0" borderId="299" xfId="0" applyNumberFormat="1" applyFont="1" applyFill="1" applyBorder="1" applyAlignment="1">
      <alignment/>
    </xf>
    <xf numFmtId="3" fontId="6" fillId="0" borderId="190" xfId="0" applyNumberFormat="1" applyFont="1" applyFill="1" applyBorder="1" applyAlignment="1">
      <alignment/>
    </xf>
    <xf numFmtId="3" fontId="9" fillId="4" borderId="150" xfId="58" applyNumberFormat="1" applyFont="1" applyFill="1" applyBorder="1" applyAlignment="1">
      <alignment/>
      <protection/>
    </xf>
    <xf numFmtId="3" fontId="5" fillId="0" borderId="57" xfId="58" applyNumberFormat="1" applyFont="1" applyFill="1" applyBorder="1" applyAlignment="1">
      <alignment/>
      <protection/>
    </xf>
    <xf numFmtId="3" fontId="9" fillId="23" borderId="150" xfId="58" applyNumberFormat="1" applyFont="1" applyFill="1" applyBorder="1" applyAlignment="1">
      <alignment/>
      <protection/>
    </xf>
    <xf numFmtId="3" fontId="5" fillId="0" borderId="113" xfId="56" applyNumberFormat="1" applyFont="1" applyFill="1" applyBorder="1">
      <alignment/>
      <protection/>
    </xf>
    <xf numFmtId="49" fontId="9" fillId="0" borderId="300" xfId="0" applyNumberFormat="1" applyFont="1" applyFill="1" applyBorder="1" applyAlignment="1">
      <alignment horizontal="left"/>
    </xf>
    <xf numFmtId="3" fontId="9" fillId="0" borderId="301" xfId="62" applyNumberFormat="1" applyFont="1" applyFill="1" applyBorder="1" applyAlignment="1">
      <alignment horizontal="left"/>
      <protection/>
    </xf>
    <xf numFmtId="3" fontId="9" fillId="0" borderId="2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49" fontId="9" fillId="0" borderId="300" xfId="58" applyNumberFormat="1" applyFont="1" applyFill="1" applyBorder="1" applyAlignment="1">
      <alignment horizontal="left"/>
      <protection/>
    </xf>
    <xf numFmtId="49" fontId="5" fillId="0" borderId="302" xfId="56" applyNumberFormat="1" applyFont="1" applyFill="1" applyBorder="1" applyAlignment="1">
      <alignment horizontal="left" indent="1"/>
      <protection/>
    </xf>
    <xf numFmtId="49" fontId="12" fillId="0" borderId="300" xfId="56" applyNumberFormat="1" applyFont="1" applyFill="1" applyBorder="1" applyAlignment="1">
      <alignment horizontal="left"/>
      <protection/>
    </xf>
    <xf numFmtId="49" fontId="6" fillId="0" borderId="302" xfId="56" applyNumberFormat="1" applyFont="1" applyFill="1" applyBorder="1" applyAlignment="1">
      <alignment horizontal="left" indent="1"/>
      <protection/>
    </xf>
    <xf numFmtId="3" fontId="6" fillId="0" borderId="21" xfId="56" applyNumberFormat="1" applyFont="1" applyFill="1" applyBorder="1" applyAlignment="1">
      <alignment/>
      <protection/>
    </xf>
    <xf numFmtId="49" fontId="9" fillId="0" borderId="303" xfId="0" applyNumberFormat="1" applyFont="1" applyFill="1" applyBorder="1" applyAlignment="1">
      <alignment horizontal="left"/>
    </xf>
    <xf numFmtId="3" fontId="9" fillId="0" borderId="304" xfId="56" applyNumberFormat="1" applyFont="1" applyFill="1" applyBorder="1" applyAlignment="1">
      <alignment/>
      <protection/>
    </xf>
    <xf numFmtId="3" fontId="9" fillId="0" borderId="304" xfId="56" applyNumberFormat="1" applyFont="1" applyFill="1" applyBorder="1">
      <alignment/>
      <protection/>
    </xf>
    <xf numFmtId="3" fontId="9" fillId="0" borderId="305" xfId="56" applyNumberFormat="1" applyFont="1" applyFill="1" applyBorder="1">
      <alignment/>
      <protection/>
    </xf>
    <xf numFmtId="3" fontId="9" fillId="0" borderId="306" xfId="56" applyNumberFormat="1" applyFont="1" applyFill="1" applyBorder="1">
      <alignment/>
      <protection/>
    </xf>
    <xf numFmtId="49" fontId="9" fillId="0" borderId="300" xfId="56" applyNumberFormat="1" applyFont="1" applyFill="1" applyBorder="1" applyAlignment="1">
      <alignment horizontal="left"/>
      <protection/>
    </xf>
    <xf numFmtId="0" fontId="9" fillId="0" borderId="302" xfId="56" applyFont="1" applyFill="1" applyBorder="1" applyAlignment="1">
      <alignment horizontal="left"/>
      <protection/>
    </xf>
    <xf numFmtId="3" fontId="9" fillId="0" borderId="20" xfId="56" applyNumberFormat="1" applyFont="1" applyFill="1" applyBorder="1" applyAlignment="1">
      <alignment/>
      <protection/>
    </xf>
    <xf numFmtId="3" fontId="9" fillId="0" borderId="135" xfId="56" applyNumberFormat="1" applyFont="1" applyFill="1" applyBorder="1" applyAlignment="1">
      <alignment/>
      <protection/>
    </xf>
    <xf numFmtId="3" fontId="9" fillId="0" borderId="11" xfId="56" applyNumberFormat="1" applyFont="1" applyFill="1" applyBorder="1" applyAlignment="1">
      <alignment/>
      <protection/>
    </xf>
    <xf numFmtId="3" fontId="9" fillId="0" borderId="57" xfId="56" applyNumberFormat="1" applyFont="1" applyFill="1" applyBorder="1" applyAlignment="1">
      <alignment/>
      <protection/>
    </xf>
    <xf numFmtId="49" fontId="5" fillId="0" borderId="300" xfId="0" applyNumberFormat="1" applyFont="1" applyFill="1" applyBorder="1" applyAlignment="1">
      <alignment/>
    </xf>
    <xf numFmtId="3" fontId="5" fillId="0" borderId="135" xfId="0" applyNumberFormat="1" applyFont="1" applyFill="1" applyBorder="1" applyAlignment="1">
      <alignment/>
    </xf>
    <xf numFmtId="49" fontId="6" fillId="0" borderId="307" xfId="56" applyNumberFormat="1" applyFont="1" applyFill="1" applyBorder="1" applyAlignment="1">
      <alignment horizontal="left"/>
      <protection/>
    </xf>
    <xf numFmtId="49" fontId="6" fillId="0" borderId="308" xfId="56" applyNumberFormat="1" applyFont="1" applyFill="1" applyBorder="1" applyAlignment="1">
      <alignment horizontal="left" indent="1"/>
      <protection/>
    </xf>
    <xf numFmtId="3" fontId="6" fillId="0" borderId="70" xfId="56" applyNumberFormat="1" applyFont="1" applyFill="1" applyBorder="1" applyAlignment="1">
      <alignment/>
      <protection/>
    </xf>
    <xf numFmtId="3" fontId="6" fillId="0" borderId="26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184" xfId="0" applyNumberFormat="1" applyFont="1" applyFill="1" applyBorder="1" applyAlignment="1">
      <alignment/>
    </xf>
    <xf numFmtId="3" fontId="6" fillId="0" borderId="70" xfId="0" applyNumberFormat="1" applyFont="1" applyFill="1" applyBorder="1" applyAlignment="1">
      <alignment/>
    </xf>
    <xf numFmtId="3" fontId="6" fillId="0" borderId="59" xfId="0" applyNumberFormat="1" applyFont="1" applyFill="1" applyBorder="1" applyAlignment="1">
      <alignment/>
    </xf>
    <xf numFmtId="3" fontId="6" fillId="0" borderId="68" xfId="0" applyNumberFormat="1" applyFont="1" applyFill="1" applyBorder="1" applyAlignment="1">
      <alignment/>
    </xf>
    <xf numFmtId="0" fontId="9" fillId="0" borderId="309" xfId="56" applyFont="1" applyFill="1" applyBorder="1" applyAlignment="1">
      <alignment horizontal="left"/>
      <protection/>
    </xf>
    <xf numFmtId="3" fontId="9" fillId="0" borderId="135" xfId="0" applyNumberFormat="1" applyFont="1" applyFill="1" applyBorder="1" applyAlignment="1">
      <alignment horizontal="right"/>
    </xf>
    <xf numFmtId="49" fontId="5" fillId="0" borderId="309" xfId="56" applyNumberFormat="1" applyFont="1" applyFill="1" applyBorder="1" applyAlignment="1">
      <alignment horizontal="left" indent="1"/>
      <protection/>
    </xf>
    <xf numFmtId="49" fontId="6" fillId="0" borderId="58" xfId="0" applyNumberFormat="1" applyFont="1" applyFill="1" applyBorder="1" applyAlignment="1">
      <alignment horizontal="left"/>
    </xf>
    <xf numFmtId="49" fontId="6" fillId="0" borderId="309" xfId="56" applyNumberFormat="1" applyFont="1" applyFill="1" applyBorder="1" applyAlignment="1">
      <alignment horizontal="left" indent="1"/>
      <protection/>
    </xf>
    <xf numFmtId="3" fontId="6" fillId="0" borderId="209" xfId="56" applyNumberFormat="1" applyFont="1" applyFill="1" applyBorder="1" applyAlignment="1">
      <alignment horizontal="right"/>
      <protection/>
    </xf>
    <xf numFmtId="3" fontId="9" fillId="0" borderId="209" xfId="56" applyNumberFormat="1" applyFont="1" applyFill="1" applyBorder="1" applyAlignment="1">
      <alignment horizontal="right"/>
      <protection/>
    </xf>
    <xf numFmtId="3" fontId="9" fillId="0" borderId="10" xfId="56" applyNumberFormat="1" applyFont="1" applyFill="1" applyBorder="1" applyAlignment="1">
      <alignment horizontal="right"/>
      <protection/>
    </xf>
    <xf numFmtId="3" fontId="9" fillId="0" borderId="20" xfId="56" applyNumberFormat="1" applyFont="1" applyFill="1" applyBorder="1" applyAlignment="1">
      <alignment horizontal="right"/>
      <protection/>
    </xf>
    <xf numFmtId="3" fontId="9" fillId="0" borderId="135" xfId="56" applyNumberFormat="1" applyFont="1" applyFill="1" applyBorder="1" applyAlignment="1">
      <alignment horizontal="right"/>
      <protection/>
    </xf>
    <xf numFmtId="3" fontId="9" fillId="0" borderId="11" xfId="56" applyNumberFormat="1" applyFont="1" applyFill="1" applyBorder="1" applyAlignment="1">
      <alignment horizontal="right"/>
      <protection/>
    </xf>
    <xf numFmtId="3" fontId="9" fillId="0" borderId="57" xfId="56" applyNumberFormat="1" applyFont="1" applyFill="1" applyBorder="1" applyAlignment="1">
      <alignment horizontal="right"/>
      <protection/>
    </xf>
    <xf numFmtId="49" fontId="6" fillId="0" borderId="310" xfId="56" applyNumberFormat="1" applyFont="1" applyFill="1" applyBorder="1" applyAlignment="1">
      <alignment horizontal="left" indent="1"/>
      <protection/>
    </xf>
    <xf numFmtId="3" fontId="6" fillId="0" borderId="220" xfId="56" applyNumberFormat="1" applyFont="1" applyFill="1" applyBorder="1" applyAlignment="1">
      <alignment horizontal="right"/>
      <protection/>
    </xf>
    <xf numFmtId="3" fontId="6" fillId="0" borderId="70" xfId="0" applyNumberFormat="1" applyFont="1" applyFill="1" applyBorder="1" applyAlignment="1">
      <alignment/>
    </xf>
    <xf numFmtId="3" fontId="6" fillId="0" borderId="68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25" xfId="56" applyNumberFormat="1" applyFont="1" applyFill="1" applyBorder="1" applyAlignment="1">
      <alignment/>
      <protection/>
    </xf>
    <xf numFmtId="3" fontId="5" fillId="0" borderId="20" xfId="62" applyNumberFormat="1" applyFont="1" applyFill="1" applyBorder="1" applyAlignment="1">
      <alignment horizontal="right"/>
      <protection/>
    </xf>
    <xf numFmtId="3" fontId="5" fillId="0" borderId="10" xfId="62" applyNumberFormat="1" applyFont="1" applyFill="1" applyBorder="1" applyAlignment="1">
      <alignment horizontal="right"/>
      <protection/>
    </xf>
    <xf numFmtId="3" fontId="5" fillId="0" borderId="20" xfId="63" applyNumberFormat="1" applyFont="1" applyFill="1" applyBorder="1" applyAlignment="1">
      <alignment horizontal="right"/>
      <protection/>
    </xf>
    <xf numFmtId="3" fontId="5" fillId="0" borderId="25" xfId="59" applyNumberFormat="1" applyFont="1" applyFill="1" applyBorder="1" applyAlignment="1">
      <alignment horizontal="right"/>
      <protection/>
    </xf>
    <xf numFmtId="3" fontId="5" fillId="0" borderId="22" xfId="59" applyNumberFormat="1" applyFont="1" applyFill="1" applyBorder="1" applyAlignment="1">
      <alignment horizontal="right"/>
      <protection/>
    </xf>
    <xf numFmtId="3" fontId="5" fillId="0" borderId="26" xfId="0" applyNumberFormat="1" applyFont="1" applyFill="1" applyBorder="1" applyAlignment="1">
      <alignment horizontal="right"/>
    </xf>
    <xf numFmtId="3" fontId="9" fillId="0" borderId="209" xfId="62" applyNumberFormat="1" applyFont="1" applyFill="1" applyBorder="1" applyAlignment="1">
      <alignment horizontal="right"/>
      <protection/>
    </xf>
    <xf numFmtId="3" fontId="9" fillId="0" borderId="10" xfId="62" applyNumberFormat="1" applyFont="1" applyFill="1" applyBorder="1" applyAlignment="1">
      <alignment horizontal="right"/>
      <protection/>
    </xf>
    <xf numFmtId="3" fontId="9" fillId="0" borderId="20" xfId="62" applyNumberFormat="1" applyFont="1" applyFill="1" applyBorder="1" applyAlignment="1">
      <alignment horizontal="right"/>
      <protection/>
    </xf>
    <xf numFmtId="3" fontId="9" fillId="0" borderId="135" xfId="62" applyNumberFormat="1" applyFont="1" applyFill="1" applyBorder="1" applyAlignment="1">
      <alignment horizontal="right"/>
      <protection/>
    </xf>
    <xf numFmtId="3" fontId="9" fillId="0" borderId="11" xfId="62" applyNumberFormat="1" applyFont="1" applyFill="1" applyBorder="1" applyAlignment="1">
      <alignment horizontal="right"/>
      <protection/>
    </xf>
    <xf numFmtId="3" fontId="9" fillId="0" borderId="57" xfId="62" applyNumberFormat="1" applyFont="1" applyFill="1" applyBorder="1" applyAlignment="1">
      <alignment horizontal="right"/>
      <protection/>
    </xf>
    <xf numFmtId="3" fontId="5" fillId="0" borderId="135" xfId="62" applyNumberFormat="1" applyFont="1" applyFill="1" applyBorder="1" applyAlignment="1">
      <alignment horizontal="right"/>
      <protection/>
    </xf>
    <xf numFmtId="49" fontId="6" fillId="0" borderId="58" xfId="56" applyNumberFormat="1" applyFont="1" applyFill="1" applyBorder="1" applyAlignment="1">
      <alignment horizontal="left"/>
      <protection/>
    </xf>
    <xf numFmtId="3" fontId="6" fillId="0" borderId="209" xfId="56" applyNumberFormat="1" applyFont="1" applyFill="1" applyBorder="1" applyAlignment="1">
      <alignment/>
      <protection/>
    </xf>
    <xf numFmtId="3" fontId="6" fillId="0" borderId="20" xfId="62" applyNumberFormat="1" applyFont="1" applyFill="1" applyBorder="1" applyAlignment="1">
      <alignment horizontal="right"/>
      <protection/>
    </xf>
    <xf numFmtId="3" fontId="6" fillId="0" borderId="135" xfId="62" applyNumberFormat="1" applyFont="1" applyFill="1" applyBorder="1" applyAlignment="1">
      <alignment horizontal="right"/>
      <protection/>
    </xf>
    <xf numFmtId="3" fontId="6" fillId="0" borderId="11" xfId="62" applyNumberFormat="1" applyFont="1" applyFill="1" applyBorder="1" applyAlignment="1">
      <alignment horizontal="right"/>
      <protection/>
    </xf>
    <xf numFmtId="3" fontId="6" fillId="0" borderId="57" xfId="62" applyNumberFormat="1" applyFont="1" applyFill="1" applyBorder="1" applyAlignment="1">
      <alignment horizontal="right"/>
      <protection/>
    </xf>
    <xf numFmtId="3" fontId="9" fillId="0" borderId="209" xfId="62" applyNumberFormat="1" applyFont="1" applyFill="1" applyBorder="1" applyAlignment="1">
      <alignment/>
      <protection/>
    </xf>
    <xf numFmtId="3" fontId="6" fillId="0" borderId="20" xfId="62" applyNumberFormat="1" applyFont="1" applyFill="1" applyBorder="1" applyAlignment="1">
      <alignment horizontal="right"/>
      <protection/>
    </xf>
    <xf numFmtId="3" fontId="6" fillId="0" borderId="10" xfId="62" applyNumberFormat="1" applyFont="1" applyFill="1" applyBorder="1" applyAlignment="1">
      <alignment horizontal="right"/>
      <protection/>
    </xf>
    <xf numFmtId="3" fontId="6" fillId="0" borderId="135" xfId="62" applyNumberFormat="1" applyFont="1" applyFill="1" applyBorder="1" applyAlignment="1">
      <alignment horizontal="right"/>
      <protection/>
    </xf>
    <xf numFmtId="3" fontId="6" fillId="0" borderId="11" xfId="62" applyNumberFormat="1" applyFont="1" applyFill="1" applyBorder="1" applyAlignment="1">
      <alignment horizontal="right"/>
      <protection/>
    </xf>
    <xf numFmtId="3" fontId="6" fillId="0" borderId="57" xfId="62" applyNumberFormat="1" applyFont="1" applyFill="1" applyBorder="1" applyAlignment="1">
      <alignment horizontal="right"/>
      <protection/>
    </xf>
    <xf numFmtId="3" fontId="5" fillId="0" borderId="135" xfId="63" applyNumberFormat="1" applyFont="1" applyFill="1" applyBorder="1" applyAlignment="1">
      <alignment horizontal="right"/>
      <protection/>
    </xf>
    <xf numFmtId="3" fontId="5" fillId="0" borderId="57" xfId="63" applyNumberFormat="1" applyFont="1" applyFill="1" applyBorder="1" applyAlignment="1">
      <alignment horizontal="right"/>
      <protection/>
    </xf>
    <xf numFmtId="3" fontId="6" fillId="0" borderId="20" xfId="63" applyNumberFormat="1" applyFont="1" applyFill="1" applyBorder="1" applyAlignment="1">
      <alignment horizontal="right"/>
      <protection/>
    </xf>
    <xf numFmtId="3" fontId="6" fillId="0" borderId="11" xfId="63" applyNumberFormat="1" applyFont="1" applyFill="1" applyBorder="1" applyAlignment="1">
      <alignment horizontal="right"/>
      <protection/>
    </xf>
    <xf numFmtId="3" fontId="6" fillId="0" borderId="11" xfId="63" applyNumberFormat="1" applyFont="1" applyFill="1" applyBorder="1" applyAlignment="1">
      <alignment horizontal="right"/>
      <protection/>
    </xf>
    <xf numFmtId="3" fontId="6" fillId="0" borderId="57" xfId="63" applyNumberFormat="1" applyFont="1" applyFill="1" applyBorder="1" applyAlignment="1">
      <alignment horizontal="right"/>
      <protection/>
    </xf>
    <xf numFmtId="49" fontId="9" fillId="0" borderId="65" xfId="0" applyNumberFormat="1" applyFont="1" applyFill="1" applyBorder="1" applyAlignment="1">
      <alignment horizontal="left"/>
    </xf>
    <xf numFmtId="3" fontId="5" fillId="0" borderId="208" xfId="56" applyNumberFormat="1" applyFont="1" applyFill="1" applyBorder="1" applyAlignment="1">
      <alignment horizontal="right"/>
      <protection/>
    </xf>
    <xf numFmtId="3" fontId="5" fillId="0" borderId="297" xfId="56" applyNumberFormat="1" applyFont="1" applyFill="1" applyBorder="1" applyAlignment="1">
      <alignment horizontal="right"/>
      <protection/>
    </xf>
    <xf numFmtId="3" fontId="5" fillId="0" borderId="220" xfId="56" applyNumberFormat="1" applyFont="1" applyFill="1" applyBorder="1" applyAlignment="1">
      <alignment horizontal="right"/>
      <protection/>
    </xf>
    <xf numFmtId="3" fontId="5" fillId="0" borderId="57" xfId="56" applyNumberFormat="1" applyFont="1" applyFill="1" applyBorder="1" applyAlignment="1">
      <alignment horizontal="left"/>
      <protection/>
    </xf>
    <xf numFmtId="3" fontId="5" fillId="0" borderId="64" xfId="56" applyNumberFormat="1" applyFont="1" applyFill="1" applyBorder="1" applyAlignment="1">
      <alignment horizontal="left"/>
      <protection/>
    </xf>
    <xf numFmtId="3" fontId="5" fillId="0" borderId="69" xfId="56" applyNumberFormat="1" applyFont="1" applyFill="1" applyBorder="1" applyAlignment="1">
      <alignment horizontal="left"/>
      <protection/>
    </xf>
    <xf numFmtId="49" fontId="5" fillId="0" borderId="57" xfId="56" applyNumberFormat="1" applyFont="1" applyFill="1" applyBorder="1" applyAlignment="1">
      <alignment horizontal="left"/>
      <protection/>
    </xf>
    <xf numFmtId="49" fontId="5" fillId="0" borderId="68" xfId="56" applyNumberFormat="1" applyFont="1" applyFill="1" applyBorder="1" applyAlignment="1">
      <alignment horizontal="left"/>
      <protection/>
    </xf>
    <xf numFmtId="49" fontId="30" fillId="0" borderId="62" xfId="58" applyNumberFormat="1" applyFont="1" applyFill="1" applyBorder="1" applyAlignment="1">
      <alignment horizontal="left"/>
      <protection/>
    </xf>
    <xf numFmtId="14" fontId="30" fillId="0" borderId="164" xfId="58" applyNumberFormat="1" applyFont="1" applyFill="1" applyBorder="1" applyAlignment="1">
      <alignment horizontal="left"/>
      <protection/>
    </xf>
    <xf numFmtId="49" fontId="31" fillId="0" borderId="55" xfId="58" applyNumberFormat="1" applyFont="1" applyFill="1" applyBorder="1" applyAlignment="1">
      <alignment horizontal="left"/>
      <protection/>
    </xf>
    <xf numFmtId="14" fontId="31" fillId="0" borderId="150" xfId="58" applyNumberFormat="1" applyFont="1" applyFill="1" applyBorder="1" applyAlignment="1">
      <alignment horizontal="right"/>
      <protection/>
    </xf>
    <xf numFmtId="49" fontId="31" fillId="0" borderId="74" xfId="58" applyNumberFormat="1" applyFont="1" applyFill="1" applyBorder="1" applyAlignment="1">
      <alignment horizontal="left"/>
      <protection/>
    </xf>
    <xf numFmtId="14" fontId="31" fillId="0" borderId="152" xfId="58" applyNumberFormat="1" applyFont="1" applyFill="1" applyBorder="1" applyAlignment="1">
      <alignment horizontal="right"/>
      <protection/>
    </xf>
    <xf numFmtId="49" fontId="12" fillId="0" borderId="61" xfId="56" applyNumberFormat="1" applyFont="1" applyFill="1" applyBorder="1" applyAlignment="1">
      <alignment horizontal="left"/>
      <protection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208" xfId="56" applyNumberFormat="1" applyFont="1" applyFill="1" applyBorder="1" applyAlignment="1">
      <alignment horizontal="right" wrapText="1"/>
      <protection/>
    </xf>
    <xf numFmtId="3" fontId="5" fillId="0" borderId="232" xfId="56" applyNumberFormat="1" applyFont="1" applyFill="1" applyBorder="1" applyAlignment="1">
      <alignment horizontal="right" wrapText="1"/>
      <protection/>
    </xf>
    <xf numFmtId="3" fontId="5" fillId="0" borderId="64" xfId="56" applyNumberFormat="1" applyFont="1" applyFill="1" applyBorder="1" applyAlignment="1">
      <alignment horizontal="left" wrapText="1"/>
      <protection/>
    </xf>
    <xf numFmtId="3" fontId="5" fillId="0" borderId="266" xfId="56" applyNumberFormat="1" applyFont="1" applyFill="1" applyBorder="1" applyAlignment="1">
      <alignment horizontal="left" wrapText="1"/>
      <protection/>
    </xf>
    <xf numFmtId="3" fontId="5" fillId="0" borderId="68" xfId="56" applyNumberFormat="1" applyFont="1" applyFill="1" applyBorder="1" applyAlignment="1">
      <alignment horizontal="left"/>
      <protection/>
    </xf>
    <xf numFmtId="3" fontId="5" fillId="0" borderId="268" xfId="56" applyNumberFormat="1" applyFont="1" applyFill="1" applyBorder="1">
      <alignment/>
      <protection/>
    </xf>
    <xf numFmtId="3" fontId="5" fillId="0" borderId="26" xfId="56" applyNumberFormat="1" applyFont="1" applyFill="1" applyBorder="1" applyAlignment="1">
      <alignment/>
      <protection/>
    </xf>
    <xf numFmtId="3" fontId="5" fillId="0" borderId="27" xfId="56" applyNumberFormat="1" applyFont="1" applyFill="1" applyBorder="1" applyAlignment="1">
      <alignment/>
      <protection/>
    </xf>
    <xf numFmtId="3" fontId="5" fillId="0" borderId="201" xfId="56" applyNumberFormat="1" applyFont="1" applyFill="1" applyBorder="1">
      <alignment/>
      <protection/>
    </xf>
    <xf numFmtId="3" fontId="5" fillId="22" borderId="270" xfId="56" applyNumberFormat="1" applyFont="1" applyFill="1" applyBorder="1">
      <alignment/>
      <protection/>
    </xf>
    <xf numFmtId="3" fontId="5" fillId="0" borderId="126" xfId="56" applyNumberFormat="1" applyFont="1" applyFill="1" applyBorder="1">
      <alignment/>
      <protection/>
    </xf>
    <xf numFmtId="3" fontId="5" fillId="0" borderId="243" xfId="56" applyNumberFormat="1" applyFont="1" applyFill="1" applyBorder="1">
      <alignment/>
      <protection/>
    </xf>
    <xf numFmtId="3" fontId="8" fillId="20" borderId="216" xfId="0" applyNumberFormat="1" applyFont="1" applyFill="1" applyBorder="1" applyAlignment="1">
      <alignment horizontal="right"/>
    </xf>
    <xf numFmtId="0" fontId="5" fillId="0" borderId="57" xfId="0" applyFont="1" applyFill="1" applyBorder="1" applyAlignment="1">
      <alignment/>
    </xf>
    <xf numFmtId="49" fontId="5" fillId="0" borderId="68" xfId="56" applyNumberFormat="1" applyFont="1" applyFill="1" applyBorder="1" applyAlignment="1">
      <alignment horizontal="left" indent="1"/>
      <protection/>
    </xf>
    <xf numFmtId="49" fontId="9" fillId="0" borderId="58" xfId="0" applyNumberFormat="1" applyFont="1" applyFill="1" applyBorder="1" applyAlignment="1">
      <alignment/>
    </xf>
    <xf numFmtId="0" fontId="9" fillId="0" borderId="57" xfId="0" applyFont="1" applyFill="1" applyBorder="1" applyAlignment="1">
      <alignment/>
    </xf>
    <xf numFmtId="3" fontId="9" fillId="0" borderId="219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172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108" xfId="0" applyNumberFormat="1" applyFont="1" applyFill="1" applyBorder="1" applyAlignment="1">
      <alignment/>
    </xf>
    <xf numFmtId="3" fontId="5" fillId="0" borderId="172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49" fontId="6" fillId="0" borderId="58" xfId="0" applyNumberFormat="1" applyFont="1" applyFill="1" applyBorder="1" applyAlignment="1">
      <alignment/>
    </xf>
    <xf numFmtId="3" fontId="6" fillId="0" borderId="219" xfId="56" applyNumberFormat="1" applyFont="1" applyFill="1" applyBorder="1" applyAlignment="1">
      <alignment horizontal="right"/>
      <protection/>
    </xf>
    <xf numFmtId="3" fontId="6" fillId="0" borderId="172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08" xfId="0" applyNumberFormat="1" applyFont="1" applyFill="1" applyBorder="1" applyAlignment="1">
      <alignment/>
    </xf>
    <xf numFmtId="3" fontId="9" fillId="0" borderId="135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9" fillId="0" borderId="57" xfId="0" applyNumberFormat="1" applyFont="1" applyFill="1" applyBorder="1" applyAlignment="1">
      <alignment/>
    </xf>
    <xf numFmtId="49" fontId="6" fillId="0" borderId="61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5" fillId="0" borderId="137" xfId="0" applyNumberFormat="1" applyFont="1" applyFill="1" applyBorder="1" applyAlignment="1">
      <alignment horizontal="center" vertical="center" wrapText="1"/>
    </xf>
    <xf numFmtId="49" fontId="18" fillId="0" borderId="311" xfId="0" applyNumberFormat="1" applyFont="1" applyFill="1" applyBorder="1" applyAlignment="1">
      <alignment horizontal="center" vertical="center" wrapText="1"/>
    </xf>
    <xf numFmtId="49" fontId="18" fillId="0" borderId="312" xfId="0" applyNumberFormat="1" applyFont="1" applyFill="1" applyBorder="1" applyAlignment="1">
      <alignment horizontal="center" vertical="center" wrapText="1"/>
    </xf>
    <xf numFmtId="49" fontId="20" fillId="0" borderId="313" xfId="0" applyNumberFormat="1" applyFont="1" applyFill="1" applyBorder="1" applyAlignment="1">
      <alignment horizontal="center" vertical="center" wrapText="1"/>
    </xf>
    <xf numFmtId="49" fontId="34" fillId="0" borderId="313" xfId="0" applyNumberFormat="1" applyFont="1" applyFill="1" applyBorder="1" applyAlignment="1">
      <alignment horizontal="center" vertical="center" wrapText="1"/>
    </xf>
    <xf numFmtId="49" fontId="34" fillId="0" borderId="239" xfId="0" applyNumberFormat="1" applyFont="1" applyFill="1" applyBorder="1" applyAlignment="1">
      <alignment horizontal="center" vertical="center" wrapText="1"/>
    </xf>
    <xf numFmtId="3" fontId="5" fillId="0" borderId="314" xfId="0" applyNumberFormat="1" applyFont="1" applyFill="1" applyBorder="1" applyAlignment="1">
      <alignment horizontal="center" vertical="center" wrapText="1"/>
    </xf>
    <xf numFmtId="3" fontId="11" fillId="0" borderId="189" xfId="0" applyNumberFormat="1" applyFont="1" applyFill="1" applyBorder="1" applyAlignment="1">
      <alignment horizontal="center" vertical="center" wrapText="1"/>
    </xf>
    <xf numFmtId="3" fontId="35" fillId="0" borderId="189" xfId="0" applyNumberFormat="1" applyFont="1" applyFill="1" applyBorder="1" applyAlignment="1">
      <alignment horizontal="center" vertical="center" wrapText="1"/>
    </xf>
    <xf numFmtId="3" fontId="35" fillId="0" borderId="240" xfId="0" applyNumberFormat="1" applyFont="1" applyFill="1" applyBorder="1" applyAlignment="1">
      <alignment horizontal="center" vertical="center" wrapText="1"/>
    </xf>
    <xf numFmtId="14" fontId="28" fillId="0" borderId="315" xfId="58" applyNumberFormat="1" applyFont="1" applyFill="1" applyBorder="1" applyAlignment="1">
      <alignment horizontal="left"/>
      <protection/>
    </xf>
    <xf numFmtId="3" fontId="28" fillId="0" borderId="316" xfId="58" applyNumberFormat="1" applyFont="1" applyFill="1" applyBorder="1" applyAlignment="1">
      <alignment horizontal="right"/>
      <protection/>
    </xf>
    <xf numFmtId="3" fontId="28" fillId="0" borderId="317" xfId="58" applyNumberFormat="1" applyFont="1" applyFill="1" applyBorder="1" applyAlignment="1">
      <alignment horizontal="right"/>
      <protection/>
    </xf>
    <xf numFmtId="14" fontId="5" fillId="0" borderId="318" xfId="58" applyNumberFormat="1" applyFont="1" applyFill="1" applyBorder="1" applyAlignment="1">
      <alignment horizontal="left"/>
      <protection/>
    </xf>
    <xf numFmtId="14" fontId="5" fillId="0" borderId="319" xfId="58" applyNumberFormat="1" applyFont="1" applyFill="1" applyBorder="1" applyAlignment="1">
      <alignment horizontal="right"/>
      <protection/>
    </xf>
    <xf numFmtId="3" fontId="5" fillId="0" borderId="320" xfId="58" applyNumberFormat="1" applyFont="1" applyFill="1" applyBorder="1" applyAlignment="1">
      <alignment horizontal="right"/>
      <protection/>
    </xf>
    <xf numFmtId="3" fontId="5" fillId="0" borderId="321" xfId="58" applyNumberFormat="1" applyFont="1" applyFill="1" applyBorder="1" applyAlignment="1">
      <alignment horizontal="right"/>
      <protection/>
    </xf>
    <xf numFmtId="14" fontId="6" fillId="0" borderId="318" xfId="58" applyNumberFormat="1" applyFont="1" applyFill="1" applyBorder="1" applyAlignment="1">
      <alignment horizontal="left"/>
      <protection/>
    </xf>
    <xf numFmtId="14" fontId="6" fillId="0" borderId="319" xfId="58" applyNumberFormat="1" applyFont="1" applyFill="1" applyBorder="1" applyAlignment="1">
      <alignment horizontal="right"/>
      <protection/>
    </xf>
    <xf numFmtId="3" fontId="6" fillId="0" borderId="320" xfId="58" applyNumberFormat="1" applyFont="1" applyFill="1" applyBorder="1" applyAlignment="1">
      <alignment horizontal="right"/>
      <protection/>
    </xf>
    <xf numFmtId="3" fontId="6" fillId="0" borderId="321" xfId="58" applyNumberFormat="1" applyFont="1" applyFill="1" applyBorder="1" applyAlignment="1">
      <alignment horizontal="right"/>
      <protection/>
    </xf>
    <xf numFmtId="14" fontId="12" fillId="0" borderId="322" xfId="58" applyNumberFormat="1" applyFont="1" applyFill="1" applyBorder="1" applyAlignment="1">
      <alignment horizontal="left"/>
      <protection/>
    </xf>
    <xf numFmtId="14" fontId="12" fillId="0" borderId="323" xfId="58" applyNumberFormat="1" applyFont="1" applyFill="1" applyBorder="1" applyAlignment="1">
      <alignment horizontal="left"/>
      <protection/>
    </xf>
    <xf numFmtId="3" fontId="12" fillId="0" borderId="324" xfId="58" applyNumberFormat="1" applyFont="1" applyFill="1" applyBorder="1" applyAlignment="1">
      <alignment horizontal="right"/>
      <protection/>
    </xf>
    <xf numFmtId="3" fontId="12" fillId="0" borderId="325" xfId="58" applyNumberFormat="1" applyFont="1" applyFill="1" applyBorder="1" applyAlignment="1">
      <alignment horizontal="right"/>
      <protection/>
    </xf>
    <xf numFmtId="14" fontId="6" fillId="0" borderId="326" xfId="58" applyNumberFormat="1" applyFont="1" applyFill="1" applyBorder="1" applyAlignment="1">
      <alignment horizontal="left"/>
      <protection/>
    </xf>
    <xf numFmtId="14" fontId="6" fillId="0" borderId="327" xfId="58" applyNumberFormat="1" applyFont="1" applyFill="1" applyBorder="1" applyAlignment="1">
      <alignment horizontal="right"/>
      <protection/>
    </xf>
    <xf numFmtId="3" fontId="6" fillId="0" borderId="328" xfId="58" applyNumberFormat="1" applyFont="1" applyFill="1" applyBorder="1" applyAlignment="1">
      <alignment horizontal="right"/>
      <protection/>
    </xf>
    <xf numFmtId="3" fontId="6" fillId="0" borderId="329" xfId="58" applyNumberFormat="1" applyFont="1" applyFill="1" applyBorder="1" applyAlignment="1">
      <alignment horizontal="right"/>
      <protection/>
    </xf>
    <xf numFmtId="49" fontId="9" fillId="0" borderId="330" xfId="0" applyNumberFormat="1" applyFont="1" applyFill="1" applyBorder="1" applyAlignment="1">
      <alignment horizontal="left"/>
    </xf>
    <xf numFmtId="0" fontId="9" fillId="0" borderId="331" xfId="56" applyFont="1" applyFill="1" applyBorder="1" applyAlignment="1">
      <alignment horizontal="left"/>
      <protection/>
    </xf>
    <xf numFmtId="3" fontId="9" fillId="0" borderId="332" xfId="56" applyNumberFormat="1" applyFont="1" applyFill="1" applyBorder="1">
      <alignment/>
      <protection/>
    </xf>
    <xf numFmtId="3" fontId="9" fillId="0" borderId="333" xfId="56" applyNumberFormat="1" applyFont="1" applyFill="1" applyBorder="1">
      <alignment/>
      <protection/>
    </xf>
    <xf numFmtId="3" fontId="9" fillId="0" borderId="10" xfId="56" applyNumberFormat="1" applyFont="1" applyFill="1" applyBorder="1">
      <alignment/>
      <protection/>
    </xf>
    <xf numFmtId="3" fontId="9" fillId="0" borderId="106" xfId="56" applyNumberFormat="1" applyFont="1" applyFill="1" applyBorder="1">
      <alignment/>
      <protection/>
    </xf>
    <xf numFmtId="49" fontId="5" fillId="0" borderId="334" xfId="56" applyNumberFormat="1" applyFont="1" applyFill="1" applyBorder="1" applyAlignment="1">
      <alignment horizontal="left"/>
      <protection/>
    </xf>
    <xf numFmtId="49" fontId="5" fillId="0" borderId="331" xfId="56" applyNumberFormat="1" applyFont="1" applyFill="1" applyBorder="1" applyAlignment="1">
      <alignment horizontal="left" indent="1"/>
      <protection/>
    </xf>
    <xf numFmtId="3" fontId="5" fillId="0" borderId="332" xfId="56" applyNumberFormat="1" applyFont="1" applyFill="1" applyBorder="1" applyAlignment="1">
      <alignment horizontal="right"/>
      <protection/>
    </xf>
    <xf numFmtId="3" fontId="5" fillId="0" borderId="333" xfId="56" applyNumberFormat="1" applyFont="1" applyFill="1" applyBorder="1" applyAlignment="1">
      <alignment horizontal="right"/>
      <protection/>
    </xf>
    <xf numFmtId="3" fontId="5" fillId="0" borderId="335" xfId="0" applyNumberFormat="1" applyFont="1" applyFill="1" applyBorder="1" applyAlignment="1">
      <alignment/>
    </xf>
    <xf numFmtId="3" fontId="5" fillId="0" borderId="336" xfId="0" applyNumberFormat="1" applyFont="1" applyFill="1" applyBorder="1" applyAlignment="1">
      <alignment/>
    </xf>
    <xf numFmtId="3" fontId="5" fillId="0" borderId="333" xfId="0" applyNumberFormat="1" applyFont="1" applyFill="1" applyBorder="1" applyAlignment="1">
      <alignment/>
    </xf>
    <xf numFmtId="49" fontId="6" fillId="0" borderId="337" xfId="56" applyNumberFormat="1" applyFont="1" applyFill="1" applyBorder="1" applyAlignment="1">
      <alignment horizontal="left"/>
      <protection/>
    </xf>
    <xf numFmtId="49" fontId="6" fillId="0" borderId="338" xfId="56" applyNumberFormat="1" applyFont="1" applyFill="1" applyBorder="1" applyAlignment="1">
      <alignment horizontal="left" indent="1"/>
      <protection/>
    </xf>
    <xf numFmtId="3" fontId="6" fillId="0" borderId="339" xfId="56" applyNumberFormat="1" applyFont="1" applyFill="1" applyBorder="1" applyAlignment="1">
      <alignment horizontal="right"/>
      <protection/>
    </xf>
    <xf numFmtId="3" fontId="6" fillId="0" borderId="340" xfId="56" applyNumberFormat="1" applyFont="1" applyFill="1" applyBorder="1" applyAlignment="1">
      <alignment horizontal="right"/>
      <protection/>
    </xf>
    <xf numFmtId="3" fontId="6" fillId="0" borderId="341" xfId="0" applyNumberFormat="1" applyFont="1" applyFill="1" applyBorder="1" applyAlignment="1">
      <alignment/>
    </xf>
    <xf numFmtId="3" fontId="6" fillId="0" borderId="342" xfId="0" applyNumberFormat="1" applyFont="1" applyFill="1" applyBorder="1" applyAlignment="1">
      <alignment/>
    </xf>
    <xf numFmtId="3" fontId="6" fillId="0" borderId="343" xfId="0" applyNumberFormat="1" applyFont="1" applyFill="1" applyBorder="1" applyAlignment="1">
      <alignment/>
    </xf>
    <xf numFmtId="3" fontId="6" fillId="0" borderId="340" xfId="0" applyNumberFormat="1" applyFont="1" applyFill="1" applyBorder="1" applyAlignment="1">
      <alignment/>
    </xf>
    <xf numFmtId="3" fontId="6" fillId="0" borderId="344" xfId="0" applyNumberFormat="1" applyFont="1" applyFill="1" applyBorder="1" applyAlignment="1">
      <alignment/>
    </xf>
    <xf numFmtId="3" fontId="5" fillId="0" borderId="208" xfId="61" applyNumberFormat="1" applyFont="1" applyFill="1" applyBorder="1" applyAlignment="1">
      <alignment horizontal="right"/>
      <protection/>
    </xf>
    <xf numFmtId="3" fontId="5" fillId="0" borderId="209" xfId="57" applyNumberFormat="1" applyFont="1" applyFill="1" applyBorder="1" applyAlignment="1">
      <alignment horizontal="right"/>
      <protection/>
    </xf>
    <xf numFmtId="3" fontId="5" fillId="0" borderId="209" xfId="61" applyNumberFormat="1" applyFont="1" applyFill="1" applyBorder="1" applyAlignment="1">
      <alignment horizontal="right"/>
      <protection/>
    </xf>
    <xf numFmtId="0" fontId="5" fillId="0" borderId="57" xfId="0" applyFont="1" applyFill="1" applyBorder="1" applyAlignment="1">
      <alignment horizontal="left"/>
    </xf>
    <xf numFmtId="49" fontId="5" fillId="0" borderId="108" xfId="56" applyNumberFormat="1" applyFont="1" applyFill="1" applyBorder="1" applyAlignment="1">
      <alignment horizontal="left" indent="1"/>
      <protection/>
    </xf>
    <xf numFmtId="3" fontId="5" fillId="0" borderId="207" xfId="62" applyNumberFormat="1" applyFont="1" applyFill="1" applyBorder="1" applyAlignment="1">
      <alignment/>
      <protection/>
    </xf>
    <xf numFmtId="3" fontId="5" fillId="0" borderId="210" xfId="61" applyNumberFormat="1" applyFont="1" applyFill="1" applyBorder="1" applyAlignment="1">
      <alignment/>
      <protection/>
    </xf>
    <xf numFmtId="3" fontId="5" fillId="0" borderId="150" xfId="62" applyNumberFormat="1" applyFont="1" applyFill="1" applyBorder="1" applyAlignment="1">
      <alignment horizontal="left"/>
      <protection/>
    </xf>
    <xf numFmtId="3" fontId="5" fillId="0" borderId="152" xfId="61" applyNumberFormat="1" applyFont="1" applyFill="1" applyBorder="1" applyAlignment="1">
      <alignment horizontal="left"/>
      <protection/>
    </xf>
    <xf numFmtId="3" fontId="5" fillId="0" borderId="345" xfId="0" applyNumberFormat="1" applyFont="1" applyFill="1" applyBorder="1" applyAlignment="1">
      <alignment/>
    </xf>
    <xf numFmtId="3" fontId="5" fillId="0" borderId="346" xfId="0" applyNumberFormat="1" applyFont="1" applyFill="1" applyBorder="1" applyAlignment="1">
      <alignment/>
    </xf>
    <xf numFmtId="3" fontId="5" fillId="0" borderId="347" xfId="0" applyNumberFormat="1" applyFont="1" applyFill="1" applyBorder="1" applyAlignment="1">
      <alignment/>
    </xf>
    <xf numFmtId="3" fontId="5" fillId="0" borderId="20" xfId="56" applyNumberFormat="1" applyFont="1" applyFill="1" applyBorder="1" applyAlignment="1">
      <alignment wrapText="1"/>
      <protection/>
    </xf>
    <xf numFmtId="3" fontId="5" fillId="0" borderId="135" xfId="56" applyNumberFormat="1" applyFont="1" applyFill="1" applyBorder="1" applyAlignment="1">
      <alignment wrapText="1"/>
      <protection/>
    </xf>
    <xf numFmtId="3" fontId="5" fillId="0" borderId="11" xfId="56" applyNumberFormat="1" applyFont="1" applyFill="1" applyBorder="1" applyAlignment="1">
      <alignment wrapText="1"/>
      <protection/>
    </xf>
    <xf numFmtId="3" fontId="5" fillId="0" borderId="57" xfId="56" applyNumberFormat="1" applyFont="1" applyFill="1" applyBorder="1" applyAlignment="1">
      <alignment wrapText="1"/>
      <protection/>
    </xf>
    <xf numFmtId="3" fontId="5" fillId="0" borderId="213" xfId="56" applyNumberFormat="1" applyFont="1" applyFill="1" applyBorder="1" applyAlignment="1">
      <alignment horizontal="left" wrapText="1"/>
      <protection/>
    </xf>
    <xf numFmtId="3" fontId="5" fillId="0" borderId="217" xfId="56" applyNumberFormat="1" applyFont="1" applyFill="1" applyBorder="1" applyAlignment="1">
      <alignment wrapText="1"/>
      <protection/>
    </xf>
    <xf numFmtId="0" fontId="9" fillId="0" borderId="216" xfId="0" applyNumberFormat="1" applyFont="1" applyFill="1" applyBorder="1" applyAlignment="1">
      <alignment horizontal="center" vertical="center" wrapText="1"/>
    </xf>
    <xf numFmtId="0" fontId="5" fillId="0" borderId="118" xfId="0" applyNumberFormat="1" applyFont="1" applyFill="1" applyBorder="1" applyAlignment="1">
      <alignment horizontal="center" vertical="center"/>
    </xf>
    <xf numFmtId="3" fontId="9" fillId="4" borderId="206" xfId="58" applyNumberFormat="1" applyFont="1" applyFill="1" applyBorder="1" applyAlignment="1">
      <alignment horizontal="right"/>
      <protection/>
    </xf>
    <xf numFmtId="3" fontId="5" fillId="0" borderId="208" xfId="0" applyNumberFormat="1" applyFont="1" applyFill="1" applyBorder="1" applyAlignment="1">
      <alignment horizontal="right"/>
    </xf>
    <xf numFmtId="3" fontId="5" fillId="0" borderId="232" xfId="56" applyNumberFormat="1" applyFont="1" applyFill="1" applyBorder="1" applyAlignment="1">
      <alignment horizontal="right"/>
      <protection/>
    </xf>
    <xf numFmtId="49" fontId="5" fillId="0" borderId="56" xfId="58" applyNumberFormat="1" applyFont="1" applyFill="1" applyBorder="1" applyAlignment="1">
      <alignment horizontal="left"/>
      <protection/>
    </xf>
    <xf numFmtId="0" fontId="5" fillId="0" borderId="64" xfId="0" applyFont="1" applyFill="1" applyBorder="1" applyAlignment="1">
      <alignment horizontal="left"/>
    </xf>
    <xf numFmtId="49" fontId="5" fillId="0" borderId="266" xfId="56" applyNumberFormat="1" applyFont="1" applyFill="1" applyBorder="1" applyAlignment="1">
      <alignment horizontal="left"/>
      <protection/>
    </xf>
    <xf numFmtId="49" fontId="5" fillId="0" borderId="61" xfId="0" applyNumberFormat="1" applyFont="1" applyFill="1" applyBorder="1" applyAlignment="1">
      <alignment horizontal="left"/>
    </xf>
    <xf numFmtId="0" fontId="5" fillId="0" borderId="68" xfId="0" applyFont="1" applyFill="1" applyBorder="1" applyAlignment="1">
      <alignment horizontal="left"/>
    </xf>
    <xf numFmtId="0" fontId="9" fillId="0" borderId="57" xfId="0" applyFont="1" applyFill="1" applyBorder="1" applyAlignment="1">
      <alignment horizontal="left"/>
    </xf>
    <xf numFmtId="49" fontId="6" fillId="0" borderId="57" xfId="56" applyNumberFormat="1" applyFont="1" applyFill="1" applyBorder="1" applyAlignment="1">
      <alignment horizontal="left" indent="1"/>
      <protection/>
    </xf>
    <xf numFmtId="3" fontId="6" fillId="0" borderId="209" xfId="56" applyNumberFormat="1" applyFont="1" applyFill="1" applyBorder="1" applyAlignment="1">
      <alignment horizontal="right"/>
      <protection/>
    </xf>
    <xf numFmtId="3" fontId="6" fillId="0" borderId="135" xfId="0" applyNumberFormat="1" applyFont="1" applyFill="1" applyBorder="1" applyAlignment="1">
      <alignment/>
    </xf>
    <xf numFmtId="3" fontId="6" fillId="0" borderId="209" xfId="0" applyNumberFormat="1" applyFont="1" applyFill="1" applyBorder="1" applyAlignment="1">
      <alignment horizontal="right"/>
    </xf>
    <xf numFmtId="0" fontId="9" fillId="0" borderId="57" xfId="0" applyFont="1" applyFill="1" applyBorder="1" applyAlignment="1">
      <alignment horizontal="left" wrapText="1"/>
    </xf>
    <xf numFmtId="3" fontId="5" fillId="0" borderId="172" xfId="0" applyNumberFormat="1" applyFont="1" applyFill="1" applyBorder="1" applyAlignment="1">
      <alignment/>
    </xf>
    <xf numFmtId="3" fontId="9" fillId="0" borderId="219" xfId="0" applyNumberFormat="1" applyFont="1" applyFill="1" applyBorder="1" applyAlignment="1">
      <alignment/>
    </xf>
    <xf numFmtId="3" fontId="9" fillId="0" borderId="172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49" fontId="9" fillId="0" borderId="58" xfId="0" applyNumberFormat="1" applyFont="1" applyFill="1" applyBorder="1" applyAlignment="1">
      <alignment/>
    </xf>
    <xf numFmtId="3" fontId="6" fillId="0" borderId="348" xfId="56" applyNumberFormat="1" applyFont="1" applyFill="1" applyBorder="1" applyAlignment="1">
      <alignment horizontal="right"/>
      <protection/>
    </xf>
    <xf numFmtId="3" fontId="6" fillId="0" borderId="299" xfId="0" applyNumberFormat="1" applyFont="1" applyFill="1" applyBorder="1" applyAlignment="1">
      <alignment/>
    </xf>
    <xf numFmtId="14" fontId="9" fillId="0" borderId="64" xfId="58" applyNumberFormat="1" applyFont="1" applyFill="1" applyBorder="1" applyAlignment="1">
      <alignment horizontal="left"/>
      <protection/>
    </xf>
    <xf numFmtId="3" fontId="9" fillId="0" borderId="208" xfId="58" applyNumberFormat="1" applyFont="1" applyFill="1" applyBorder="1" applyAlignment="1">
      <alignment horizontal="right"/>
      <protection/>
    </xf>
    <xf numFmtId="3" fontId="9" fillId="0" borderId="144" xfId="58" applyNumberFormat="1" applyFont="1" applyFill="1" applyBorder="1" applyAlignment="1">
      <alignment horizontal="right"/>
      <protection/>
    </xf>
    <xf numFmtId="3" fontId="9" fillId="0" borderId="25" xfId="58" applyNumberFormat="1" applyFont="1" applyFill="1" applyBorder="1" applyAlignment="1">
      <alignment horizontal="right"/>
      <protection/>
    </xf>
    <xf numFmtId="3" fontId="9" fillId="0" borderId="23" xfId="58" applyNumberFormat="1" applyFont="1" applyFill="1" applyBorder="1" applyAlignment="1">
      <alignment horizontal="right"/>
      <protection/>
    </xf>
    <xf numFmtId="3" fontId="9" fillId="0" borderId="64" xfId="58" applyNumberFormat="1" applyFont="1" applyFill="1" applyBorder="1" applyAlignment="1">
      <alignment horizontal="right"/>
      <protection/>
    </xf>
    <xf numFmtId="49" fontId="14" fillId="0" borderId="58" xfId="58" applyNumberFormat="1" applyFont="1" applyFill="1" applyBorder="1" applyAlignment="1">
      <alignment horizontal="left"/>
      <protection/>
    </xf>
    <xf numFmtId="49" fontId="6" fillId="0" borderId="61" xfId="0" applyNumberFormat="1" applyFont="1" applyFill="1" applyBorder="1" applyAlignment="1">
      <alignment/>
    </xf>
    <xf numFmtId="49" fontId="6" fillId="0" borderId="68" xfId="56" applyNumberFormat="1" applyFont="1" applyFill="1" applyBorder="1" applyAlignment="1">
      <alignment horizontal="left" indent="1"/>
      <protection/>
    </xf>
    <xf numFmtId="3" fontId="6" fillId="0" borderId="70" xfId="0" applyNumberFormat="1" applyFont="1" applyFill="1" applyBorder="1" applyAlignment="1">
      <alignment/>
    </xf>
    <xf numFmtId="3" fontId="6" fillId="0" borderId="190" xfId="0" applyNumberFormat="1" applyFont="1" applyFill="1" applyBorder="1" applyAlignment="1">
      <alignment/>
    </xf>
    <xf numFmtId="3" fontId="6" fillId="0" borderId="59" xfId="0" applyNumberFormat="1" applyFont="1" applyFill="1" applyBorder="1" applyAlignment="1">
      <alignment/>
    </xf>
    <xf numFmtId="3" fontId="6" fillId="0" borderId="68" xfId="0" applyNumberFormat="1" applyFont="1" applyFill="1" applyBorder="1" applyAlignment="1">
      <alignment/>
    </xf>
    <xf numFmtId="0" fontId="9" fillId="0" borderId="124" xfId="0" applyNumberFormat="1" applyFont="1" applyFill="1" applyBorder="1" applyAlignment="1">
      <alignment horizontal="center" vertical="center" wrapText="1"/>
    </xf>
    <xf numFmtId="3" fontId="8" fillId="20" borderId="207" xfId="58" applyNumberFormat="1" applyFont="1" applyFill="1" applyBorder="1" applyAlignment="1">
      <alignment/>
      <protection/>
    </xf>
    <xf numFmtId="3" fontId="9" fillId="4" borderId="206" xfId="58" applyNumberFormat="1" applyFont="1" applyFill="1" applyBorder="1" applyAlignment="1">
      <alignment/>
      <protection/>
    </xf>
    <xf numFmtId="14" fontId="8" fillId="20" borderId="150" xfId="58" applyNumberFormat="1" applyFont="1" applyFill="1" applyBorder="1" applyAlignment="1">
      <alignment horizontal="left"/>
      <protection/>
    </xf>
    <xf numFmtId="3" fontId="5" fillId="0" borderId="27" xfId="56" applyNumberFormat="1" applyFont="1" applyFill="1" applyBorder="1">
      <alignment/>
      <protection/>
    </xf>
    <xf numFmtId="3" fontId="8" fillId="0" borderId="268" xfId="0" applyNumberFormat="1" applyFont="1" applyFill="1" applyBorder="1" applyAlignment="1">
      <alignment vertical="center"/>
    </xf>
    <xf numFmtId="3" fontId="8" fillId="0" borderId="267" xfId="0" applyNumberFormat="1" applyFont="1" applyFill="1" applyBorder="1" applyAlignment="1">
      <alignment vertical="center"/>
    </xf>
    <xf numFmtId="3" fontId="13" fillId="0" borderId="268" xfId="0" applyNumberFormat="1" applyFont="1" applyFill="1" applyBorder="1" applyAlignment="1">
      <alignment vertical="center"/>
    </xf>
    <xf numFmtId="3" fontId="13" fillId="0" borderId="267" xfId="0" applyNumberFormat="1" applyFont="1" applyFill="1" applyBorder="1" applyAlignment="1">
      <alignment vertical="center"/>
    </xf>
    <xf numFmtId="3" fontId="13" fillId="0" borderId="298" xfId="0" applyNumberFormat="1" applyFont="1" applyFill="1" applyBorder="1" applyAlignment="1">
      <alignment vertical="center"/>
    </xf>
    <xf numFmtId="3" fontId="13" fillId="0" borderId="349" xfId="0" applyNumberFormat="1" applyFont="1" applyFill="1" applyBorder="1" applyAlignment="1">
      <alignment vertical="center"/>
    </xf>
    <xf numFmtId="3" fontId="5" fillId="0" borderId="270" xfId="0" applyNumberFormat="1" applyFont="1" applyFill="1" applyBorder="1" applyAlignment="1">
      <alignment/>
    </xf>
    <xf numFmtId="3" fontId="9" fillId="23" borderId="121" xfId="0" applyNumberFormat="1" applyFont="1" applyFill="1" applyBorder="1" applyAlignment="1">
      <alignment horizontal="right"/>
    </xf>
    <xf numFmtId="0" fontId="5" fillId="0" borderId="233" xfId="56" applyFont="1" applyFill="1" applyBorder="1" applyAlignment="1">
      <alignment horizontal="left"/>
      <protection/>
    </xf>
    <xf numFmtId="3" fontId="28" fillId="0" borderId="288" xfId="58" applyNumberFormat="1" applyFont="1" applyFill="1" applyBorder="1" applyAlignment="1">
      <alignment horizontal="right"/>
      <protection/>
    </xf>
    <xf numFmtId="3" fontId="5" fillId="0" borderId="293" xfId="58" applyNumberFormat="1" applyFont="1" applyFill="1" applyBorder="1" applyAlignment="1">
      <alignment horizontal="right"/>
      <protection/>
    </xf>
    <xf numFmtId="3" fontId="6" fillId="0" borderId="293" xfId="58" applyNumberFormat="1" applyFont="1" applyFill="1" applyBorder="1" applyAlignment="1">
      <alignment horizontal="right"/>
      <protection/>
    </xf>
    <xf numFmtId="3" fontId="12" fillId="0" borderId="200" xfId="58" applyNumberFormat="1" applyFont="1" applyFill="1" applyBorder="1" applyAlignment="1">
      <alignment horizontal="right"/>
      <protection/>
    </xf>
    <xf numFmtId="3" fontId="6" fillId="0" borderId="138" xfId="58" applyNumberFormat="1" applyFont="1" applyFill="1" applyBorder="1" applyAlignment="1">
      <alignment horizontal="right"/>
      <protection/>
    </xf>
    <xf numFmtId="3" fontId="9" fillId="0" borderId="96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8" fillId="20" borderId="350" xfId="0" applyNumberFormat="1" applyFont="1" applyFill="1" applyBorder="1" applyAlignment="1">
      <alignment horizontal="right"/>
    </xf>
    <xf numFmtId="3" fontId="9" fillId="23" borderId="351" xfId="0" applyNumberFormat="1" applyFont="1" applyFill="1" applyBorder="1" applyAlignment="1">
      <alignment horizontal="right"/>
    </xf>
    <xf numFmtId="3" fontId="9" fillId="4" borderId="351" xfId="0" applyNumberFormat="1" applyFont="1" applyFill="1" applyBorder="1" applyAlignment="1">
      <alignment horizontal="right"/>
    </xf>
    <xf numFmtId="3" fontId="8" fillId="20" borderId="156" xfId="0" applyNumberFormat="1" applyFont="1" applyFill="1" applyBorder="1" applyAlignment="1">
      <alignment horizontal="right"/>
    </xf>
    <xf numFmtId="49" fontId="9" fillId="0" borderId="204" xfId="0" applyNumberFormat="1" applyFont="1" applyFill="1" applyBorder="1" applyAlignment="1">
      <alignment horizontal="center" vertical="center" wrapText="1"/>
    </xf>
    <xf numFmtId="3" fontId="8" fillId="20" borderId="138" xfId="0" applyNumberFormat="1" applyFont="1" applyFill="1" applyBorder="1" applyAlignment="1">
      <alignment/>
    </xf>
    <xf numFmtId="3" fontId="9" fillId="23" borderId="139" xfId="0" applyNumberFormat="1" applyFont="1" applyFill="1" applyBorder="1" applyAlignment="1">
      <alignment/>
    </xf>
    <xf numFmtId="3" fontId="9" fillId="4" borderId="139" xfId="0" applyNumberFormat="1" applyFont="1" applyFill="1" applyBorder="1" applyAlignment="1">
      <alignment/>
    </xf>
    <xf numFmtId="3" fontId="5" fillId="0" borderId="19" xfId="58" applyNumberFormat="1" applyFont="1" applyFill="1" applyBorder="1" applyAlignment="1">
      <alignment wrapText="1"/>
      <protection/>
    </xf>
    <xf numFmtId="3" fontId="5" fillId="0" borderId="19" xfId="56" applyNumberFormat="1" applyFont="1" applyFill="1" applyBorder="1" applyAlignment="1">
      <alignment/>
      <protection/>
    </xf>
    <xf numFmtId="3" fontId="5" fillId="0" borderId="19" xfId="60" applyNumberFormat="1" applyFont="1" applyFill="1" applyBorder="1" applyAlignment="1">
      <alignment/>
      <protection/>
    </xf>
    <xf numFmtId="3" fontId="5" fillId="0" borderId="19" xfId="57" applyNumberFormat="1" applyFont="1" applyFill="1" applyBorder="1" applyAlignment="1">
      <alignment wrapText="1"/>
      <protection/>
    </xf>
    <xf numFmtId="3" fontId="5" fillId="0" borderId="19" xfId="0" applyNumberFormat="1" applyFont="1" applyFill="1" applyBorder="1" applyAlignment="1">
      <alignment wrapText="1"/>
    </xf>
    <xf numFmtId="3" fontId="5" fillId="0" borderId="19" xfId="0" applyNumberFormat="1" applyFont="1" applyFill="1" applyBorder="1" applyAlignment="1">
      <alignment/>
    </xf>
    <xf numFmtId="3" fontId="5" fillId="0" borderId="352" xfId="0" applyNumberFormat="1" applyFont="1" applyFill="1" applyBorder="1" applyAlignment="1">
      <alignment/>
    </xf>
    <xf numFmtId="3" fontId="5" fillId="0" borderId="128" xfId="0" applyNumberFormat="1" applyFont="1" applyFill="1" applyBorder="1" applyAlignment="1">
      <alignment/>
    </xf>
    <xf numFmtId="3" fontId="5" fillId="0" borderId="219" xfId="0" applyNumberFormat="1" applyFont="1" applyFill="1" applyBorder="1" applyAlignment="1">
      <alignment/>
    </xf>
    <xf numFmtId="3" fontId="5" fillId="0" borderId="218" xfId="0" applyNumberFormat="1" applyFont="1" applyFill="1" applyBorder="1" applyAlignment="1">
      <alignment/>
    </xf>
    <xf numFmtId="3" fontId="5" fillId="0" borderId="353" xfId="0" applyNumberFormat="1" applyFont="1" applyFill="1" applyBorder="1" applyAlignment="1">
      <alignment/>
    </xf>
    <xf numFmtId="0" fontId="5" fillId="0" borderId="354" xfId="0" applyFont="1" applyBorder="1" applyAlignment="1">
      <alignment/>
    </xf>
    <xf numFmtId="3" fontId="5" fillId="0" borderId="10" xfId="58" applyNumberFormat="1" applyFont="1" applyFill="1" applyBorder="1" applyAlignment="1">
      <alignment horizontal="right" wrapText="1"/>
      <protection/>
    </xf>
    <xf numFmtId="3" fontId="5" fillId="0" borderId="10" xfId="57" applyNumberFormat="1" applyFont="1" applyFill="1" applyBorder="1" applyAlignment="1">
      <alignment horizontal="right" wrapText="1"/>
      <protection/>
    </xf>
    <xf numFmtId="0" fontId="5" fillId="0" borderId="234" xfId="0" applyFont="1" applyFill="1" applyBorder="1" applyAlignment="1">
      <alignment/>
    </xf>
    <xf numFmtId="3" fontId="5" fillId="0" borderId="219" xfId="0" applyNumberFormat="1" applyFont="1" applyFill="1" applyBorder="1" applyAlignment="1">
      <alignment/>
    </xf>
    <xf numFmtId="3" fontId="5" fillId="0" borderId="110" xfId="58" applyNumberFormat="1" applyFont="1" applyFill="1" applyBorder="1" applyAlignment="1">
      <alignment horizontal="right"/>
      <protection/>
    </xf>
    <xf numFmtId="49" fontId="9" fillId="23" borderId="73" xfId="58" applyNumberFormat="1" applyFont="1" applyFill="1" applyBorder="1" applyAlignment="1">
      <alignment horizontal="left"/>
      <protection/>
    </xf>
    <xf numFmtId="14" fontId="9" fillId="23" borderId="355" xfId="58" applyNumberFormat="1" applyFont="1" applyFill="1" applyBorder="1" applyAlignment="1">
      <alignment horizontal="left"/>
      <protection/>
    </xf>
    <xf numFmtId="3" fontId="9" fillId="23" borderId="356" xfId="0" applyNumberFormat="1" applyFont="1" applyFill="1" applyBorder="1" applyAlignment="1">
      <alignment/>
    </xf>
    <xf numFmtId="3" fontId="9" fillId="23" borderId="357" xfId="0" applyNumberFormat="1" applyFont="1" applyFill="1" applyBorder="1" applyAlignment="1">
      <alignment/>
    </xf>
    <xf numFmtId="3" fontId="9" fillId="23" borderId="358" xfId="0" applyNumberFormat="1" applyFont="1" applyFill="1" applyBorder="1" applyAlignment="1">
      <alignment horizontal="right"/>
    </xf>
    <xf numFmtId="3" fontId="9" fillId="23" borderId="355" xfId="0" applyNumberFormat="1" applyFont="1" applyFill="1" applyBorder="1" applyAlignment="1">
      <alignment horizontal="right"/>
    </xf>
    <xf numFmtId="49" fontId="34" fillId="0" borderId="359" xfId="0" applyNumberFormat="1" applyFont="1" applyFill="1" applyBorder="1" applyAlignment="1">
      <alignment horizontal="center" vertical="center" wrapText="1"/>
    </xf>
    <xf numFmtId="3" fontId="35" fillId="0" borderId="360" xfId="0" applyNumberFormat="1" applyFont="1" applyFill="1" applyBorder="1" applyAlignment="1">
      <alignment horizontal="center" vertical="center" wrapText="1"/>
    </xf>
    <xf numFmtId="3" fontId="8" fillId="20" borderId="361" xfId="0" applyNumberFormat="1" applyFont="1" applyFill="1" applyBorder="1" applyAlignment="1">
      <alignment horizontal="right"/>
    </xf>
    <xf numFmtId="3" fontId="9" fillId="23" borderId="362" xfId="0" applyNumberFormat="1" applyFont="1" applyFill="1" applyBorder="1" applyAlignment="1">
      <alignment horizontal="right"/>
    </xf>
    <xf numFmtId="3" fontId="9" fillId="4" borderId="362" xfId="0" applyNumberFormat="1" applyFont="1" applyFill="1" applyBorder="1" applyAlignment="1">
      <alignment horizontal="right"/>
    </xf>
    <xf numFmtId="3" fontId="5" fillId="0" borderId="302" xfId="58" applyNumberFormat="1" applyFont="1" applyFill="1" applyBorder="1" applyAlignment="1">
      <alignment horizontal="right" wrapText="1"/>
      <protection/>
    </xf>
    <xf numFmtId="3" fontId="5" fillId="0" borderId="302" xfId="58" applyNumberFormat="1" applyFont="1" applyFill="1" applyBorder="1" applyAlignment="1">
      <alignment horizontal="right"/>
      <protection/>
    </xf>
    <xf numFmtId="3" fontId="5" fillId="0" borderId="302" xfId="0" applyNumberFormat="1" applyFont="1" applyFill="1" applyBorder="1" applyAlignment="1">
      <alignment/>
    </xf>
    <xf numFmtId="3" fontId="5" fillId="0" borderId="302" xfId="57" applyNumberFormat="1" applyFont="1" applyFill="1" applyBorder="1" applyAlignment="1">
      <alignment horizontal="right" wrapText="1"/>
      <protection/>
    </xf>
    <xf numFmtId="3" fontId="5" fillId="0" borderId="302" xfId="57" applyNumberFormat="1" applyFont="1" applyFill="1" applyBorder="1" applyAlignment="1">
      <alignment wrapText="1"/>
      <protection/>
    </xf>
    <xf numFmtId="3" fontId="5" fillId="0" borderId="302" xfId="0" applyNumberFormat="1" applyFont="1" applyFill="1" applyBorder="1" applyAlignment="1">
      <alignment wrapText="1"/>
    </xf>
    <xf numFmtId="3" fontId="9" fillId="4" borderId="362" xfId="0" applyNumberFormat="1" applyFont="1" applyFill="1" applyBorder="1" applyAlignment="1">
      <alignment/>
    </xf>
    <xf numFmtId="3" fontId="5" fillId="0" borderId="363" xfId="0" applyNumberFormat="1" applyFont="1" applyFill="1" applyBorder="1" applyAlignment="1">
      <alignment/>
    </xf>
    <xf numFmtId="3" fontId="9" fillId="23" borderId="357" xfId="0" applyNumberFormat="1" applyFont="1" applyFill="1" applyBorder="1" applyAlignment="1">
      <alignment horizontal="right"/>
    </xf>
    <xf numFmtId="3" fontId="5" fillId="0" borderId="352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/>
    </xf>
    <xf numFmtId="3" fontId="5" fillId="0" borderId="30" xfId="58" applyNumberFormat="1" applyFont="1" applyFill="1" applyBorder="1" applyAlignment="1">
      <alignment horizontal="right" wrapText="1"/>
      <protection/>
    </xf>
    <xf numFmtId="3" fontId="5" fillId="0" borderId="30" xfId="57" applyNumberFormat="1" applyFont="1" applyFill="1" applyBorder="1" applyAlignment="1">
      <alignment horizontal="right" wrapText="1"/>
      <protection/>
    </xf>
    <xf numFmtId="3" fontId="5" fillId="0" borderId="30" xfId="57" applyNumberFormat="1" applyFont="1" applyFill="1" applyBorder="1" applyAlignment="1">
      <alignment wrapText="1"/>
      <protection/>
    </xf>
    <xf numFmtId="3" fontId="5" fillId="0" borderId="30" xfId="0" applyNumberFormat="1" applyFont="1" applyFill="1" applyBorder="1" applyAlignment="1">
      <alignment wrapText="1"/>
    </xf>
    <xf numFmtId="3" fontId="5" fillId="0" borderId="182" xfId="58" applyNumberFormat="1" applyFont="1" applyFill="1" applyBorder="1" applyAlignment="1">
      <alignment horizontal="right"/>
      <protection/>
    </xf>
    <xf numFmtId="3" fontId="9" fillId="23" borderId="186" xfId="0" applyNumberFormat="1" applyFont="1" applyFill="1" applyBorder="1" applyAlignment="1">
      <alignment horizontal="right"/>
    </xf>
    <xf numFmtId="3" fontId="9" fillId="23" borderId="187" xfId="0" applyNumberFormat="1" applyFont="1" applyFill="1" applyBorder="1" applyAlignment="1">
      <alignment horizontal="right"/>
    </xf>
    <xf numFmtId="3" fontId="5" fillId="0" borderId="182" xfId="0" applyNumberFormat="1" applyFont="1" applyFill="1" applyBorder="1" applyAlignment="1">
      <alignment/>
    </xf>
    <xf numFmtId="3" fontId="5" fillId="0" borderId="102" xfId="0" applyNumberFormat="1" applyFont="1" applyFill="1" applyBorder="1" applyAlignment="1">
      <alignment/>
    </xf>
    <xf numFmtId="49" fontId="34" fillId="2" borderId="359" xfId="0" applyNumberFormat="1" applyFont="1" applyFill="1" applyBorder="1" applyAlignment="1">
      <alignment horizontal="center" vertical="center" wrapText="1"/>
    </xf>
    <xf numFmtId="3" fontId="35" fillId="2" borderId="360" xfId="0" applyNumberFormat="1" applyFont="1" applyFill="1" applyBorder="1" applyAlignment="1">
      <alignment horizontal="center" vertical="center" wrapText="1"/>
    </xf>
    <xf numFmtId="3" fontId="9" fillId="4" borderId="362" xfId="58" applyNumberFormat="1" applyFont="1" applyFill="1" applyBorder="1" applyAlignment="1">
      <alignment horizontal="right"/>
      <protection/>
    </xf>
    <xf numFmtId="3" fontId="5" fillId="0" borderId="364" xfId="0" applyNumberFormat="1" applyFont="1" applyFill="1" applyBorder="1" applyAlignment="1">
      <alignment horizontal="right"/>
    </xf>
    <xf numFmtId="3" fontId="5" fillId="0" borderId="365" xfId="56" applyNumberFormat="1" applyFont="1" applyFill="1" applyBorder="1">
      <alignment/>
      <protection/>
    </xf>
    <xf numFmtId="3" fontId="5" fillId="0" borderId="302" xfId="56" applyNumberFormat="1" applyFont="1" applyFill="1" applyBorder="1">
      <alignment/>
      <protection/>
    </xf>
    <xf numFmtId="3" fontId="5" fillId="25" borderId="302" xfId="0" applyNumberFormat="1" applyFont="1" applyFill="1" applyBorder="1" applyAlignment="1">
      <alignment/>
    </xf>
    <xf numFmtId="3" fontId="5" fillId="0" borderId="366" xfId="0" applyNumberFormat="1" applyFont="1" applyFill="1" applyBorder="1" applyAlignment="1">
      <alignment/>
    </xf>
    <xf numFmtId="49" fontId="34" fillId="0" borderId="136" xfId="0" applyNumberFormat="1" applyFont="1" applyFill="1" applyBorder="1" applyAlignment="1">
      <alignment horizontal="center" vertical="center" wrapText="1"/>
    </xf>
    <xf numFmtId="3" fontId="35" fillId="0" borderId="137" xfId="0" applyNumberFormat="1" applyFont="1" applyFill="1" applyBorder="1" applyAlignment="1">
      <alignment horizontal="center" vertical="center" wrapText="1"/>
    </xf>
    <xf numFmtId="3" fontId="9" fillId="0" borderId="96" xfId="60" applyNumberFormat="1" applyFont="1" applyFill="1" applyBorder="1" applyAlignment="1">
      <alignment horizontal="right"/>
      <protection/>
    </xf>
    <xf numFmtId="3" fontId="5" fillId="0" borderId="19" xfId="56" applyNumberFormat="1" applyFont="1" applyFill="1" applyBorder="1">
      <alignment/>
      <protection/>
    </xf>
    <xf numFmtId="3" fontId="6" fillId="0" borderId="19" xfId="0" applyNumberFormat="1" applyFont="1" applyFill="1" applyBorder="1" applyAlignment="1">
      <alignment/>
    </xf>
    <xf numFmtId="3" fontId="9" fillId="0" borderId="19" xfId="60" applyNumberFormat="1" applyFont="1" applyFill="1" applyBorder="1" applyAlignment="1">
      <alignment horizontal="right"/>
      <protection/>
    </xf>
    <xf numFmtId="3" fontId="6" fillId="0" borderId="352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9" fillId="0" borderId="367" xfId="0" applyNumberFormat="1" applyFont="1" applyFill="1" applyBorder="1" applyAlignment="1">
      <alignment/>
    </xf>
    <xf numFmtId="3" fontId="6" fillId="0" borderId="128" xfId="0" applyNumberFormat="1" applyFont="1" applyFill="1" applyBorder="1" applyAlignment="1">
      <alignment/>
    </xf>
    <xf numFmtId="3" fontId="5" fillId="24" borderId="364" xfId="0" applyNumberFormat="1" applyFont="1" applyFill="1" applyBorder="1" applyAlignment="1">
      <alignment/>
    </xf>
    <xf numFmtId="3" fontId="5" fillId="24" borderId="302" xfId="0" applyNumberFormat="1" applyFont="1" applyFill="1" applyBorder="1" applyAlignment="1">
      <alignment/>
    </xf>
    <xf numFmtId="3" fontId="5" fillId="24" borderId="368" xfId="0" applyNumberFormat="1" applyFont="1" applyFill="1" applyBorder="1" applyAlignment="1">
      <alignment/>
    </xf>
    <xf numFmtId="3" fontId="5" fillId="24" borderId="364" xfId="57" applyNumberFormat="1" applyFont="1" applyFill="1" applyBorder="1" applyAlignment="1">
      <alignment horizontal="right"/>
      <protection/>
    </xf>
    <xf numFmtId="3" fontId="5" fillId="0" borderId="365" xfId="57" applyNumberFormat="1" applyFont="1" applyFill="1" applyBorder="1" applyAlignment="1">
      <alignment horizontal="right"/>
      <protection/>
    </xf>
    <xf numFmtId="0" fontId="5" fillId="0" borderId="302" xfId="0" applyFont="1" applyFill="1" applyBorder="1" applyAlignment="1">
      <alignment/>
    </xf>
    <xf numFmtId="3" fontId="5" fillId="0" borderId="302" xfId="0" applyNumberFormat="1" applyFont="1" applyFill="1" applyBorder="1" applyAlignment="1">
      <alignment/>
    </xf>
    <xf numFmtId="3" fontId="5" fillId="0" borderId="366" xfId="0" applyNumberFormat="1" applyFont="1" applyFill="1" applyBorder="1" applyAlignment="1">
      <alignment/>
    </xf>
    <xf numFmtId="3" fontId="28" fillId="0" borderId="369" xfId="58" applyNumberFormat="1" applyFont="1" applyFill="1" applyBorder="1" applyAlignment="1">
      <alignment horizontal="right"/>
      <protection/>
    </xf>
    <xf numFmtId="3" fontId="5" fillId="0" borderId="368" xfId="58" applyNumberFormat="1" applyFont="1" applyFill="1" applyBorder="1" applyAlignment="1">
      <alignment horizontal="right"/>
      <protection/>
    </xf>
    <xf numFmtId="3" fontId="6" fillId="0" borderId="368" xfId="58" applyNumberFormat="1" applyFont="1" applyFill="1" applyBorder="1" applyAlignment="1">
      <alignment horizontal="right"/>
      <protection/>
    </xf>
    <xf numFmtId="3" fontId="12" fillId="0" borderId="370" xfId="58" applyNumberFormat="1" applyFont="1" applyFill="1" applyBorder="1" applyAlignment="1">
      <alignment horizontal="right"/>
      <protection/>
    </xf>
    <xf numFmtId="3" fontId="6" fillId="0" borderId="361" xfId="58" applyNumberFormat="1" applyFont="1" applyFill="1" applyBorder="1" applyAlignment="1">
      <alignment horizontal="right"/>
      <protection/>
    </xf>
    <xf numFmtId="3" fontId="9" fillId="0" borderId="364" xfId="0" applyNumberFormat="1" applyFont="1" applyFill="1" applyBorder="1" applyAlignment="1">
      <alignment horizontal="right"/>
    </xf>
    <xf numFmtId="3" fontId="5" fillId="0" borderId="302" xfId="57" applyNumberFormat="1" applyFont="1" applyFill="1" applyBorder="1" applyAlignment="1">
      <alignment horizontal="right"/>
      <protection/>
    </xf>
    <xf numFmtId="3" fontId="6" fillId="0" borderId="366" xfId="57" applyNumberFormat="1" applyFont="1" applyFill="1" applyBorder="1" applyAlignment="1">
      <alignment horizontal="right"/>
      <protection/>
    </xf>
    <xf numFmtId="3" fontId="30" fillId="0" borderId="361" xfId="0" applyNumberFormat="1" applyFont="1" applyFill="1" applyBorder="1" applyAlignment="1">
      <alignment horizontal="right"/>
    </xf>
    <xf numFmtId="3" fontId="31" fillId="0" borderId="362" xfId="0" applyNumberFormat="1" applyFont="1" applyFill="1" applyBorder="1" applyAlignment="1">
      <alignment horizontal="right"/>
    </xf>
    <xf numFmtId="3" fontId="31" fillId="0" borderId="360" xfId="0" applyNumberFormat="1" applyFont="1" applyFill="1" applyBorder="1" applyAlignment="1">
      <alignment horizontal="right"/>
    </xf>
    <xf numFmtId="3" fontId="5" fillId="0" borderId="364" xfId="56" applyNumberFormat="1" applyFont="1" applyFill="1" applyBorder="1">
      <alignment/>
      <protection/>
    </xf>
    <xf numFmtId="3" fontId="5" fillId="0" borderId="366" xfId="56" applyNumberFormat="1" applyFont="1" applyFill="1" applyBorder="1">
      <alignment/>
      <protection/>
    </xf>
    <xf numFmtId="3" fontId="9" fillId="0" borderId="364" xfId="0" applyNumberFormat="1" applyFont="1" applyFill="1" applyBorder="1" applyAlignment="1">
      <alignment/>
    </xf>
    <xf numFmtId="3" fontId="5" fillId="0" borderId="364" xfId="0" applyNumberFormat="1" applyFont="1" applyFill="1" applyBorder="1" applyAlignment="1">
      <alignment/>
    </xf>
    <xf numFmtId="3" fontId="9" fillId="4" borderId="362" xfId="58" applyNumberFormat="1" applyFont="1" applyFill="1" applyBorder="1" applyAlignment="1">
      <alignment/>
      <protection/>
    </xf>
    <xf numFmtId="3" fontId="6" fillId="0" borderId="302" xfId="0" applyNumberFormat="1" applyFont="1" applyFill="1" applyBorder="1" applyAlignment="1">
      <alignment/>
    </xf>
    <xf numFmtId="3" fontId="5" fillId="0" borderId="302" xfId="58" applyNumberFormat="1" applyFont="1" applyFill="1" applyBorder="1" applyAlignment="1">
      <alignment/>
      <protection/>
    </xf>
    <xf numFmtId="3" fontId="9" fillId="23" borderId="362" xfId="58" applyNumberFormat="1" applyFont="1" applyFill="1" applyBorder="1" applyAlignment="1">
      <alignment/>
      <protection/>
    </xf>
    <xf numFmtId="3" fontId="9" fillId="4" borderId="15" xfId="58" applyNumberFormat="1" applyFont="1" applyFill="1" applyBorder="1" applyAlignment="1">
      <alignment/>
      <protection/>
    </xf>
    <xf numFmtId="3" fontId="5" fillId="0" borderId="23" xfId="56" applyNumberFormat="1" applyFont="1" applyFill="1" applyBorder="1">
      <alignment/>
      <protection/>
    </xf>
    <xf numFmtId="3" fontId="9" fillId="23" borderId="15" xfId="58" applyNumberFormat="1" applyFont="1" applyFill="1" applyBorder="1" applyAlignment="1">
      <alignment/>
      <protection/>
    </xf>
    <xf numFmtId="3" fontId="5" fillId="0" borderId="39" xfId="56" applyNumberFormat="1" applyFont="1" applyFill="1" applyBorder="1">
      <alignment/>
      <protection/>
    </xf>
    <xf numFmtId="3" fontId="30" fillId="0" borderId="28" xfId="0" applyNumberFormat="1" applyFont="1" applyFill="1" applyBorder="1" applyAlignment="1">
      <alignment horizontal="right"/>
    </xf>
    <xf numFmtId="3" fontId="31" fillId="0" borderId="14" xfId="0" applyNumberFormat="1" applyFont="1" applyFill="1" applyBorder="1" applyAlignment="1">
      <alignment horizontal="right"/>
    </xf>
    <xf numFmtId="3" fontId="9" fillId="23" borderId="371" xfId="0" applyNumberFormat="1" applyFont="1" applyFill="1" applyBorder="1" applyAlignment="1">
      <alignment horizontal="right"/>
    </xf>
    <xf numFmtId="3" fontId="9" fillId="4" borderId="372" xfId="0" applyNumberFormat="1" applyFont="1" applyFill="1" applyBorder="1" applyAlignment="1">
      <alignment horizontal="right"/>
    </xf>
    <xf numFmtId="3" fontId="5" fillId="0" borderId="373" xfId="0" applyNumberFormat="1" applyFont="1" applyFill="1" applyBorder="1" applyAlignment="1">
      <alignment wrapText="1"/>
    </xf>
    <xf numFmtId="3" fontId="8" fillId="20" borderId="374" xfId="0" applyNumberFormat="1" applyFont="1" applyFill="1" applyBorder="1" applyAlignment="1">
      <alignment horizontal="right"/>
    </xf>
    <xf numFmtId="3" fontId="9" fillId="23" borderId="375" xfId="0" applyNumberFormat="1" applyFont="1" applyFill="1" applyBorder="1" applyAlignment="1">
      <alignment horizontal="right"/>
    </xf>
    <xf numFmtId="3" fontId="9" fillId="4" borderId="375" xfId="0" applyNumberFormat="1" applyFont="1" applyFill="1" applyBorder="1" applyAlignment="1">
      <alignment horizontal="right"/>
    </xf>
    <xf numFmtId="3" fontId="5" fillId="0" borderId="365" xfId="0" applyNumberFormat="1" applyFont="1" applyBorder="1" applyAlignment="1">
      <alignment/>
    </xf>
    <xf numFmtId="3" fontId="5" fillId="0" borderId="365" xfId="56" applyNumberFormat="1" applyFont="1" applyFill="1" applyBorder="1" applyAlignment="1">
      <alignment/>
      <protection/>
    </xf>
    <xf numFmtId="3" fontId="22" fillId="0" borderId="302" xfId="0" applyNumberFormat="1" applyFont="1" applyFill="1" applyBorder="1" applyAlignment="1">
      <alignment/>
    </xf>
    <xf numFmtId="3" fontId="5" fillId="0" borderId="302" xfId="56" applyNumberFormat="1" applyFont="1" applyFill="1" applyBorder="1" applyAlignment="1">
      <alignment/>
      <protection/>
    </xf>
    <xf numFmtId="3" fontId="5" fillId="0" borderId="302" xfId="0" applyNumberFormat="1" applyFont="1" applyBorder="1" applyAlignment="1">
      <alignment/>
    </xf>
    <xf numFmtId="3" fontId="5" fillId="0" borderId="368" xfId="0" applyNumberFormat="1" applyFont="1" applyFill="1" applyBorder="1" applyAlignment="1">
      <alignment/>
    </xf>
    <xf numFmtId="3" fontId="9" fillId="4" borderId="375" xfId="0" applyNumberFormat="1" applyFont="1" applyFill="1" applyBorder="1" applyAlignment="1">
      <alignment/>
    </xf>
    <xf numFmtId="3" fontId="5" fillId="0" borderId="302" xfId="56" applyNumberFormat="1" applyFont="1" applyFill="1" applyBorder="1" applyAlignment="1">
      <alignment horizontal="right"/>
      <protection/>
    </xf>
    <xf numFmtId="3" fontId="5" fillId="0" borderId="104" xfId="0" applyNumberFormat="1" applyFont="1" applyBorder="1" applyAlignment="1">
      <alignment/>
    </xf>
    <xf numFmtId="3" fontId="5" fillId="0" borderId="104" xfId="56" applyNumberFormat="1" applyFont="1" applyFill="1" applyBorder="1" applyAlignment="1">
      <alignment/>
      <protection/>
    </xf>
    <xf numFmtId="3" fontId="22" fillId="0" borderId="30" xfId="0" applyNumberFormat="1" applyFont="1" applyFill="1" applyBorder="1" applyAlignment="1">
      <alignment/>
    </xf>
    <xf numFmtId="3" fontId="5" fillId="0" borderId="30" xfId="56" applyNumberFormat="1" applyFont="1" applyFill="1" applyBorder="1" applyAlignment="1">
      <alignment/>
      <protection/>
    </xf>
    <xf numFmtId="3" fontId="5" fillId="0" borderId="30" xfId="0" applyNumberFormat="1" applyFont="1" applyBorder="1" applyAlignment="1">
      <alignment/>
    </xf>
    <xf numFmtId="3" fontId="5" fillId="0" borderId="123" xfId="0" applyNumberFormat="1" applyFont="1" applyFill="1" applyBorder="1" applyAlignment="1">
      <alignment/>
    </xf>
    <xf numFmtId="3" fontId="5" fillId="0" borderId="30" xfId="56" applyNumberFormat="1" applyFont="1" applyFill="1" applyBorder="1" applyAlignment="1">
      <alignment horizontal="right"/>
      <protection/>
    </xf>
    <xf numFmtId="3" fontId="9" fillId="0" borderId="376" xfId="56" applyNumberFormat="1" applyFont="1" applyFill="1" applyBorder="1">
      <alignment/>
      <protection/>
    </xf>
    <xf numFmtId="3" fontId="9" fillId="0" borderId="19" xfId="56" applyNumberFormat="1" applyFont="1" applyFill="1" applyBorder="1" applyAlignment="1">
      <alignment/>
      <protection/>
    </xf>
    <xf numFmtId="3" fontId="6" fillId="0" borderId="128" xfId="0" applyNumberFormat="1" applyFont="1" applyFill="1" applyBorder="1" applyAlignment="1">
      <alignment/>
    </xf>
    <xf numFmtId="49" fontId="5" fillId="0" borderId="117" xfId="56" applyNumberFormat="1" applyFont="1" applyFill="1" applyBorder="1" applyAlignment="1">
      <alignment horizontal="left"/>
      <protection/>
    </xf>
    <xf numFmtId="49" fontId="5" fillId="0" borderId="377" xfId="0" applyNumberFormat="1" applyFont="1" applyFill="1" applyBorder="1" applyAlignment="1">
      <alignment horizontal="left"/>
    </xf>
    <xf numFmtId="3" fontId="6" fillId="0" borderId="26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28" fillId="0" borderId="378" xfId="58" applyNumberFormat="1" applyFont="1" applyFill="1" applyBorder="1" applyAlignment="1">
      <alignment horizontal="right"/>
      <protection/>
    </xf>
    <xf numFmtId="3" fontId="5" fillId="0" borderId="379" xfId="58" applyNumberFormat="1" applyFont="1" applyFill="1" applyBorder="1" applyAlignment="1">
      <alignment horizontal="right"/>
      <protection/>
    </xf>
    <xf numFmtId="3" fontId="6" fillId="0" borderId="379" xfId="58" applyNumberFormat="1" applyFont="1" applyFill="1" applyBorder="1" applyAlignment="1">
      <alignment horizontal="right"/>
      <protection/>
    </xf>
    <xf numFmtId="3" fontId="12" fillId="0" borderId="380" xfId="58" applyNumberFormat="1" applyFont="1" applyFill="1" applyBorder="1" applyAlignment="1">
      <alignment horizontal="right"/>
      <protection/>
    </xf>
    <xf numFmtId="3" fontId="6" fillId="0" borderId="381" xfId="58" applyNumberFormat="1" applyFont="1" applyFill="1" applyBorder="1" applyAlignment="1">
      <alignment horizontal="right"/>
      <protection/>
    </xf>
    <xf numFmtId="14" fontId="28" fillId="0" borderId="262" xfId="58" applyNumberFormat="1" applyFont="1" applyFill="1" applyBorder="1" applyAlignment="1">
      <alignment horizontal="left"/>
      <protection/>
    </xf>
    <xf numFmtId="14" fontId="5" fillId="0" borderId="267" xfId="58" applyNumberFormat="1" applyFont="1" applyFill="1" applyBorder="1" applyAlignment="1">
      <alignment horizontal="right"/>
      <protection/>
    </xf>
    <xf numFmtId="14" fontId="6" fillId="0" borderId="267" xfId="58" applyNumberFormat="1" applyFont="1" applyFill="1" applyBorder="1" applyAlignment="1">
      <alignment horizontal="right"/>
      <protection/>
    </xf>
    <xf numFmtId="14" fontId="12" fillId="0" borderId="201" xfId="58" applyNumberFormat="1" applyFont="1" applyFill="1" applyBorder="1" applyAlignment="1">
      <alignment horizontal="left"/>
      <protection/>
    </xf>
    <xf numFmtId="14" fontId="6" fillId="0" borderId="29" xfId="58" applyNumberFormat="1" applyFont="1" applyFill="1" applyBorder="1" applyAlignment="1">
      <alignment horizontal="right"/>
      <protection/>
    </xf>
    <xf numFmtId="0" fontId="9" fillId="0" borderId="98" xfId="0" applyFont="1" applyFill="1" applyBorder="1" applyAlignment="1">
      <alignment/>
    </xf>
    <xf numFmtId="49" fontId="6" fillId="0" borderId="10" xfId="56" applyNumberFormat="1" applyFont="1" applyFill="1" applyBorder="1" applyAlignment="1">
      <alignment horizontal="left" indent="1"/>
      <protection/>
    </xf>
    <xf numFmtId="0" fontId="9" fillId="0" borderId="10" xfId="0" applyFont="1" applyFill="1" applyBorder="1" applyAlignment="1">
      <alignment/>
    </xf>
    <xf numFmtId="49" fontId="6" fillId="0" borderId="61" xfId="0" applyNumberFormat="1" applyFont="1" applyFill="1" applyBorder="1" applyAlignment="1">
      <alignment horizontal="left"/>
    </xf>
    <xf numFmtId="49" fontId="6" fillId="0" borderId="72" xfId="56" applyNumberFormat="1" applyFont="1" applyFill="1" applyBorder="1" applyAlignment="1">
      <alignment horizontal="left" indent="1"/>
      <protection/>
    </xf>
    <xf numFmtId="49" fontId="30" fillId="0" borderId="382" xfId="58" applyNumberFormat="1" applyFont="1" applyFill="1" applyBorder="1" applyAlignment="1">
      <alignment horizontal="left"/>
      <protection/>
    </xf>
    <xf numFmtId="14" fontId="30" fillId="0" borderId="99" xfId="58" applyNumberFormat="1" applyFont="1" applyFill="1" applyBorder="1" applyAlignment="1">
      <alignment horizontal="left"/>
      <protection/>
    </xf>
    <xf numFmtId="49" fontId="31" fillId="0" borderId="383" xfId="58" applyNumberFormat="1" applyFont="1" applyFill="1" applyBorder="1" applyAlignment="1">
      <alignment horizontal="left"/>
      <protection/>
    </xf>
    <xf numFmtId="14" fontId="31" fillId="0" borderId="89" xfId="58" applyNumberFormat="1" applyFont="1" applyFill="1" applyBorder="1" applyAlignment="1">
      <alignment horizontal="right"/>
      <protection/>
    </xf>
    <xf numFmtId="49" fontId="31" fillId="0" borderId="384" xfId="58" applyNumberFormat="1" applyFont="1" applyFill="1" applyBorder="1" applyAlignment="1">
      <alignment horizontal="left"/>
      <protection/>
    </xf>
    <xf numFmtId="14" fontId="31" fillId="0" borderId="158" xfId="58" applyNumberFormat="1" applyFont="1" applyFill="1" applyBorder="1" applyAlignment="1">
      <alignment horizontal="right"/>
      <protection/>
    </xf>
    <xf numFmtId="3" fontId="30" fillId="0" borderId="385" xfId="0" applyNumberFormat="1" applyFont="1" applyFill="1" applyBorder="1" applyAlignment="1">
      <alignment horizontal="right"/>
    </xf>
    <xf numFmtId="3" fontId="31" fillId="0" borderId="386" xfId="0" applyNumberFormat="1" applyFont="1" applyFill="1" applyBorder="1" applyAlignment="1">
      <alignment horizontal="right"/>
    </xf>
    <xf numFmtId="3" fontId="31" fillId="0" borderId="387" xfId="0" applyNumberFormat="1" applyFont="1" applyFill="1" applyBorder="1" applyAlignment="1">
      <alignment horizontal="right"/>
    </xf>
    <xf numFmtId="3" fontId="31" fillId="0" borderId="151" xfId="0" applyNumberFormat="1" applyFont="1" applyFill="1" applyBorder="1" applyAlignment="1">
      <alignment horizontal="right"/>
    </xf>
    <xf numFmtId="49" fontId="18" fillId="0" borderId="145" xfId="0" applyNumberFormat="1" applyFont="1" applyFill="1" applyBorder="1" applyAlignment="1">
      <alignment horizontal="center" vertical="center" wrapText="1"/>
    </xf>
    <xf numFmtId="3" fontId="9" fillId="4" borderId="89" xfId="0" applyNumberFormat="1" applyFont="1" applyFill="1" applyBorder="1" applyAlignment="1">
      <alignment/>
    </xf>
    <xf numFmtId="3" fontId="9" fillId="23" borderId="188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3" fontId="5" fillId="0" borderId="96" xfId="0" applyNumberFormat="1" applyFont="1" applyFill="1" applyBorder="1" applyAlignment="1">
      <alignment horizontal="right"/>
    </xf>
    <xf numFmtId="3" fontId="6" fillId="0" borderId="96" xfId="0" applyNumberFormat="1" applyFont="1" applyFill="1" applyBorder="1" applyAlignment="1">
      <alignment horizontal="right"/>
    </xf>
    <xf numFmtId="3" fontId="6" fillId="0" borderId="388" xfId="0" applyNumberFormat="1" applyFont="1" applyFill="1" applyBorder="1" applyAlignment="1">
      <alignment horizontal="right"/>
    </xf>
    <xf numFmtId="3" fontId="30" fillId="0" borderId="138" xfId="0" applyNumberFormat="1" applyFont="1" applyFill="1" applyBorder="1" applyAlignment="1">
      <alignment horizontal="right"/>
    </xf>
    <xf numFmtId="3" fontId="31" fillId="0" borderId="139" xfId="0" applyNumberFormat="1" applyFont="1" applyFill="1" applyBorder="1" applyAlignment="1">
      <alignment horizontal="right"/>
    </xf>
    <xf numFmtId="3" fontId="31" fillId="0" borderId="140" xfId="0" applyNumberFormat="1" applyFont="1" applyFill="1" applyBorder="1" applyAlignment="1">
      <alignment horizontal="right"/>
    </xf>
    <xf numFmtId="3" fontId="5" fillId="0" borderId="101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/>
    </xf>
    <xf numFmtId="3" fontId="5" fillId="25" borderId="30" xfId="0" applyNumberFormat="1" applyFont="1" applyFill="1" applyBorder="1" applyAlignment="1">
      <alignment/>
    </xf>
    <xf numFmtId="14" fontId="8" fillId="20" borderId="389" xfId="58" applyNumberFormat="1" applyFont="1" applyFill="1" applyBorder="1" applyAlignment="1">
      <alignment horizontal="left"/>
      <protection/>
    </xf>
    <xf numFmtId="14" fontId="9" fillId="4" borderId="390" xfId="58" applyNumberFormat="1" applyFont="1" applyFill="1" applyBorder="1" applyAlignment="1">
      <alignment horizontal="left"/>
      <protection/>
    </xf>
    <xf numFmtId="3" fontId="5" fillId="0" borderId="92" xfId="58" applyNumberFormat="1" applyFont="1" applyFill="1" applyBorder="1" applyAlignment="1">
      <alignment horizontal="left"/>
      <protection/>
    </xf>
    <xf numFmtId="49" fontId="5" fillId="0" borderId="88" xfId="56" applyNumberFormat="1" applyFont="1" applyFill="1" applyBorder="1" applyAlignment="1">
      <alignment horizontal="left" indent="1"/>
      <protection/>
    </xf>
    <xf numFmtId="49" fontId="6" fillId="0" borderId="88" xfId="56" applyNumberFormat="1" applyFont="1" applyFill="1" applyBorder="1" applyAlignment="1">
      <alignment horizontal="left" indent="1"/>
      <protection/>
    </xf>
    <xf numFmtId="14" fontId="5" fillId="0" borderId="88" xfId="58" applyNumberFormat="1" applyFont="1" applyFill="1" applyBorder="1" applyAlignment="1">
      <alignment horizontal="left"/>
      <protection/>
    </xf>
    <xf numFmtId="3" fontId="5" fillId="0" borderId="88" xfId="60" applyNumberFormat="1" applyFont="1" applyFill="1" applyBorder="1" applyAlignment="1">
      <alignment horizontal="left"/>
      <protection/>
    </xf>
    <xf numFmtId="3" fontId="5" fillId="25" borderId="88" xfId="60" applyNumberFormat="1" applyFont="1" applyFill="1" applyBorder="1" applyAlignment="1">
      <alignment horizontal="left"/>
      <protection/>
    </xf>
    <xf numFmtId="3" fontId="5" fillId="0" borderId="88" xfId="60" applyNumberFormat="1" applyFont="1" applyFill="1" applyBorder="1" applyAlignment="1">
      <alignment horizontal="left" wrapText="1"/>
      <protection/>
    </xf>
    <xf numFmtId="3" fontId="5" fillId="0" borderId="103" xfId="60" applyNumberFormat="1" applyFont="1" applyFill="1" applyBorder="1" applyAlignment="1">
      <alignment horizontal="left" wrapText="1"/>
      <protection/>
    </xf>
    <xf numFmtId="3" fontId="9" fillId="0" borderId="242" xfId="60" applyNumberFormat="1" applyFont="1" applyFill="1" applyBorder="1" applyAlignment="1">
      <alignment horizontal="right"/>
      <protection/>
    </xf>
    <xf numFmtId="3" fontId="9" fillId="0" borderId="57" xfId="60" applyNumberFormat="1" applyFont="1" applyFill="1" applyBorder="1" applyAlignment="1">
      <alignment horizontal="right"/>
      <protection/>
    </xf>
    <xf numFmtId="3" fontId="9" fillId="0" borderId="280" xfId="0" applyNumberFormat="1" applyFont="1" applyFill="1" applyBorder="1" applyAlignment="1">
      <alignment/>
    </xf>
    <xf numFmtId="14" fontId="30" fillId="0" borderId="154" xfId="58" applyNumberFormat="1" applyFont="1" applyFill="1" applyBorder="1" applyAlignment="1">
      <alignment horizontal="left"/>
      <protection/>
    </xf>
    <xf numFmtId="14" fontId="31" fillId="0" borderId="121" xfId="58" applyNumberFormat="1" applyFont="1" applyFill="1" applyBorder="1" applyAlignment="1">
      <alignment horizontal="right"/>
      <protection/>
    </xf>
    <xf numFmtId="14" fontId="31" fillId="0" borderId="120" xfId="58" applyNumberFormat="1" applyFont="1" applyFill="1" applyBorder="1" applyAlignment="1">
      <alignment horizontal="right"/>
      <protection/>
    </xf>
    <xf numFmtId="3" fontId="6" fillId="0" borderId="84" xfId="56" applyNumberFormat="1" applyFont="1" applyFill="1" applyBorder="1">
      <alignment/>
      <protection/>
    </xf>
    <xf numFmtId="3" fontId="5" fillId="24" borderId="30" xfId="0" applyNumberFormat="1" applyFont="1" applyFill="1" applyBorder="1" applyAlignment="1">
      <alignment/>
    </xf>
    <xf numFmtId="3" fontId="5" fillId="24" borderId="123" xfId="0" applyNumberFormat="1" applyFont="1" applyFill="1" applyBorder="1" applyAlignment="1">
      <alignment/>
    </xf>
    <xf numFmtId="3" fontId="5" fillId="24" borderId="101" xfId="57" applyNumberFormat="1" applyFont="1" applyFill="1" applyBorder="1" applyAlignment="1">
      <alignment horizontal="right"/>
      <protection/>
    </xf>
    <xf numFmtId="3" fontId="5" fillId="0" borderId="391" xfId="60" applyNumberFormat="1" applyFont="1" applyFill="1" applyBorder="1" applyAlignment="1">
      <alignment horizontal="left"/>
      <protection/>
    </xf>
    <xf numFmtId="3" fontId="5" fillId="0" borderId="92" xfId="60" applyNumberFormat="1" applyFont="1" applyFill="1" applyBorder="1" applyAlignment="1">
      <alignment horizontal="left"/>
      <protection/>
    </xf>
    <xf numFmtId="3" fontId="5" fillId="0" borderId="87" xfId="60" applyNumberFormat="1" applyFont="1" applyFill="1" applyBorder="1" applyAlignment="1">
      <alignment horizontal="left"/>
      <protection/>
    </xf>
    <xf numFmtId="49" fontId="5" fillId="0" borderId="103" xfId="56" applyNumberFormat="1" applyFont="1" applyFill="1" applyBorder="1" applyAlignment="1">
      <alignment horizontal="left" indent="1"/>
      <protection/>
    </xf>
    <xf numFmtId="3" fontId="9" fillId="0" borderId="100" xfId="0" applyNumberFormat="1" applyFont="1" applyFill="1" applyBorder="1" applyAlignment="1">
      <alignment horizontal="right"/>
    </xf>
    <xf numFmtId="3" fontId="9" fillId="0" borderId="224" xfId="0" applyNumberFormat="1" applyFont="1" applyFill="1" applyBorder="1" applyAlignment="1">
      <alignment horizontal="right"/>
    </xf>
    <xf numFmtId="14" fontId="28" fillId="0" borderId="392" xfId="58" applyNumberFormat="1" applyFont="1" applyFill="1" applyBorder="1" applyAlignment="1">
      <alignment horizontal="left"/>
      <protection/>
    </xf>
    <xf numFmtId="14" fontId="5" fillId="0" borderId="391" xfId="58" applyNumberFormat="1" applyFont="1" applyFill="1" applyBorder="1" applyAlignment="1">
      <alignment horizontal="right"/>
      <protection/>
    </xf>
    <xf numFmtId="14" fontId="6" fillId="0" borderId="391" xfId="58" applyNumberFormat="1" applyFont="1" applyFill="1" applyBorder="1" applyAlignment="1">
      <alignment horizontal="right"/>
      <protection/>
    </xf>
    <xf numFmtId="14" fontId="12" fillId="0" borderId="393" xfId="58" applyNumberFormat="1" applyFont="1" applyFill="1" applyBorder="1" applyAlignment="1">
      <alignment horizontal="left"/>
      <protection/>
    </xf>
    <xf numFmtId="14" fontId="6" fillId="0" borderId="389" xfId="58" applyNumberFormat="1" applyFont="1" applyFill="1" applyBorder="1" applyAlignment="1">
      <alignment horizontal="right"/>
      <protection/>
    </xf>
    <xf numFmtId="3" fontId="9" fillId="0" borderId="87" xfId="60" applyNumberFormat="1" applyFont="1" applyFill="1" applyBorder="1" applyAlignment="1">
      <alignment horizontal="left"/>
      <protection/>
    </xf>
    <xf numFmtId="49" fontId="6" fillId="0" borderId="103" xfId="56" applyNumberFormat="1" applyFont="1" applyFill="1" applyBorder="1" applyAlignment="1">
      <alignment horizontal="left" indent="1"/>
      <protection/>
    </xf>
    <xf numFmtId="14" fontId="30" fillId="0" borderId="389" xfId="58" applyNumberFormat="1" applyFont="1" applyFill="1" applyBorder="1" applyAlignment="1">
      <alignment horizontal="left"/>
      <protection/>
    </xf>
    <xf numFmtId="14" fontId="31" fillId="0" borderId="390" xfId="58" applyNumberFormat="1" applyFont="1" applyFill="1" applyBorder="1" applyAlignment="1">
      <alignment horizontal="right"/>
      <protection/>
    </xf>
    <xf numFmtId="14" fontId="31" fillId="0" borderId="258" xfId="58" applyNumberFormat="1" applyFont="1" applyFill="1" applyBorder="1" applyAlignment="1">
      <alignment horizontal="right"/>
      <protection/>
    </xf>
    <xf numFmtId="49" fontId="8" fillId="20" borderId="382" xfId="58" applyNumberFormat="1" applyFont="1" applyFill="1" applyBorder="1" applyAlignment="1">
      <alignment horizontal="left"/>
      <protection/>
    </xf>
    <xf numFmtId="14" fontId="8" fillId="20" borderId="154" xfId="58" applyNumberFormat="1" applyFont="1" applyFill="1" applyBorder="1" applyAlignment="1">
      <alignment horizontal="left"/>
      <protection/>
    </xf>
    <xf numFmtId="49" fontId="9" fillId="4" borderId="383" xfId="58" applyNumberFormat="1" applyFont="1" applyFill="1" applyBorder="1" applyAlignment="1">
      <alignment horizontal="left"/>
      <protection/>
    </xf>
    <xf numFmtId="14" fontId="9" fillId="4" borderId="121" xfId="58" applyNumberFormat="1" applyFont="1" applyFill="1" applyBorder="1" applyAlignment="1">
      <alignment horizontal="left"/>
      <protection/>
    </xf>
    <xf numFmtId="49" fontId="5" fillId="0" borderId="394" xfId="57" applyNumberFormat="1" applyFont="1" applyFill="1" applyBorder="1" applyAlignment="1">
      <alignment horizontal="left"/>
      <protection/>
    </xf>
    <xf numFmtId="3" fontId="5" fillId="0" borderId="91" xfId="58" applyNumberFormat="1" applyFont="1" applyFill="1" applyBorder="1" applyAlignment="1">
      <alignment horizontal="left"/>
      <protection/>
    </xf>
    <xf numFmtId="3" fontId="5" fillId="0" borderId="85" xfId="58" applyNumberFormat="1" applyFont="1" applyFill="1" applyBorder="1" applyAlignment="1">
      <alignment horizontal="left"/>
      <protection/>
    </xf>
    <xf numFmtId="49" fontId="5" fillId="0" borderId="382" xfId="57" applyNumberFormat="1" applyFont="1" applyFill="1" applyBorder="1" applyAlignment="1">
      <alignment horizontal="left"/>
      <protection/>
    </xf>
    <xf numFmtId="3" fontId="5" fillId="0" borderId="122" xfId="58" applyNumberFormat="1" applyFont="1" applyFill="1" applyBorder="1" applyAlignment="1">
      <alignment horizontal="left"/>
      <protection/>
    </xf>
    <xf numFmtId="49" fontId="5" fillId="0" borderId="394" xfId="56" applyNumberFormat="1" applyFont="1" applyFill="1" applyBorder="1" applyAlignment="1">
      <alignment horizontal="left"/>
      <protection/>
    </xf>
    <xf numFmtId="0" fontId="5" fillId="0" borderId="91" xfId="58" applyFont="1" applyFill="1" applyBorder="1" applyAlignment="1">
      <alignment horizontal="left"/>
      <protection/>
    </xf>
    <xf numFmtId="3" fontId="5" fillId="0" borderId="294" xfId="58" applyNumberFormat="1" applyFont="1" applyFill="1" applyBorder="1" applyAlignment="1">
      <alignment horizontal="left"/>
      <protection/>
    </xf>
    <xf numFmtId="0" fontId="5" fillId="0" borderId="122" xfId="58" applyFont="1" applyFill="1" applyBorder="1" applyAlignment="1">
      <alignment horizontal="left"/>
      <protection/>
    </xf>
    <xf numFmtId="49" fontId="5" fillId="0" borderId="38" xfId="56" applyNumberFormat="1" applyFont="1" applyFill="1" applyBorder="1" applyAlignment="1">
      <alignment horizontal="left"/>
      <protection/>
    </xf>
    <xf numFmtId="3" fontId="5" fillId="0" borderId="395" xfId="58" applyNumberFormat="1" applyFont="1" applyFill="1" applyBorder="1" applyAlignment="1">
      <alignment horizontal="left"/>
      <protection/>
    </xf>
    <xf numFmtId="3" fontId="9" fillId="0" borderId="100" xfId="0" applyNumberFormat="1" applyFont="1" applyFill="1" applyBorder="1" applyAlignment="1">
      <alignment/>
    </xf>
    <xf numFmtId="3" fontId="9" fillId="0" borderId="87" xfId="60" applyNumberFormat="1" applyFont="1" applyFill="1" applyBorder="1" applyAlignment="1">
      <alignment horizontal="left" wrapText="1"/>
      <protection/>
    </xf>
    <xf numFmtId="3" fontId="5" fillId="0" borderId="88" xfId="58" applyNumberFormat="1" applyFont="1" applyFill="1" applyBorder="1" applyAlignment="1">
      <alignment horizontal="left"/>
      <protection/>
    </xf>
    <xf numFmtId="3" fontId="5" fillId="0" borderId="88" xfId="61" applyNumberFormat="1" applyFont="1" applyFill="1" applyBorder="1" applyAlignment="1">
      <alignment horizontal="left"/>
      <protection/>
    </xf>
    <xf numFmtId="3" fontId="5" fillId="0" borderId="347" xfId="61" applyNumberFormat="1" applyFont="1" applyFill="1" applyBorder="1" applyAlignment="1">
      <alignment horizontal="left"/>
      <protection/>
    </xf>
    <xf numFmtId="3" fontId="5" fillId="0" borderId="103" xfId="60" applyNumberFormat="1" applyFont="1" applyFill="1" applyBorder="1" applyAlignment="1">
      <alignment horizontal="left"/>
      <protection/>
    </xf>
    <xf numFmtId="14" fontId="9" fillId="23" borderId="390" xfId="58" applyNumberFormat="1" applyFont="1" applyFill="1" applyBorder="1" applyAlignment="1">
      <alignment horizontal="left"/>
      <protection/>
    </xf>
    <xf numFmtId="3" fontId="5" fillId="0" borderId="396" xfId="58" applyNumberFormat="1" applyFont="1" applyFill="1" applyBorder="1" applyAlignment="1">
      <alignment horizontal="left"/>
      <protection/>
    </xf>
    <xf numFmtId="49" fontId="5" fillId="0" borderId="88" xfId="56" applyNumberFormat="1" applyFont="1" applyFill="1" applyBorder="1" applyAlignment="1">
      <alignment horizontal="left"/>
      <protection/>
    </xf>
    <xf numFmtId="3" fontId="5" fillId="0" borderId="103" xfId="58" applyNumberFormat="1" applyFont="1" applyFill="1" applyBorder="1" applyAlignment="1">
      <alignment horizontal="left"/>
      <protection/>
    </xf>
    <xf numFmtId="3" fontId="9" fillId="0" borderId="10" xfId="60" applyNumberFormat="1" applyFont="1" applyFill="1" applyBorder="1" applyAlignment="1">
      <alignment horizontal="left"/>
      <protection/>
    </xf>
    <xf numFmtId="3" fontId="9" fillId="0" borderId="397" xfId="56" applyNumberFormat="1" applyFont="1" applyFill="1" applyBorder="1">
      <alignment/>
      <protection/>
    </xf>
    <xf numFmtId="3" fontId="6" fillId="0" borderId="65" xfId="0" applyNumberFormat="1" applyFont="1" applyFill="1" applyBorder="1" applyAlignment="1">
      <alignment/>
    </xf>
    <xf numFmtId="3" fontId="9" fillId="0" borderId="65" xfId="56" applyNumberFormat="1" applyFont="1" applyFill="1" applyBorder="1" applyAlignment="1">
      <alignment horizontal="right"/>
      <protection/>
    </xf>
    <xf numFmtId="3" fontId="6" fillId="0" borderId="71" xfId="0" applyNumberFormat="1" applyFont="1" applyFill="1" applyBorder="1" applyAlignment="1">
      <alignment/>
    </xf>
    <xf numFmtId="49" fontId="5" fillId="0" borderId="214" xfId="56" applyNumberFormat="1" applyFont="1" applyFill="1" applyBorder="1" applyAlignment="1">
      <alignment horizontal="left" wrapText="1" indent="3"/>
      <protection/>
    </xf>
    <xf numFmtId="3" fontId="5" fillId="0" borderId="19" xfId="58" applyNumberFormat="1" applyFont="1" applyFill="1" applyBorder="1" applyAlignment="1">
      <alignment horizontal="right"/>
      <protection/>
    </xf>
    <xf numFmtId="3" fontId="5" fillId="0" borderId="128" xfId="0" applyNumberFormat="1" applyFont="1" applyFill="1" applyBorder="1" applyAlignment="1">
      <alignment/>
    </xf>
    <xf numFmtId="3" fontId="6" fillId="0" borderId="348" xfId="56" applyNumberFormat="1" applyFont="1" applyFill="1" applyBorder="1" applyAlignment="1">
      <alignment horizontal="right" indent="1"/>
      <protection/>
    </xf>
    <xf numFmtId="3" fontId="9" fillId="0" borderId="19" xfId="62" applyNumberFormat="1" applyFont="1" applyFill="1" applyBorder="1" applyAlignment="1">
      <alignment horizontal="right"/>
      <protection/>
    </xf>
    <xf numFmtId="3" fontId="6" fillId="0" borderId="19" xfId="62" applyNumberFormat="1" applyFont="1" applyFill="1" applyBorder="1" applyAlignment="1">
      <alignment horizontal="right"/>
      <protection/>
    </xf>
    <xf numFmtId="3" fontId="5" fillId="0" borderId="19" xfId="62" applyNumberFormat="1" applyFont="1" applyFill="1" applyBorder="1" applyAlignment="1">
      <alignment horizontal="right"/>
      <protection/>
    </xf>
    <xf numFmtId="3" fontId="6" fillId="0" borderId="19" xfId="62" applyNumberFormat="1" applyFont="1" applyFill="1" applyBorder="1" applyAlignment="1">
      <alignment horizontal="right"/>
      <protection/>
    </xf>
    <xf numFmtId="3" fontId="5" fillId="0" borderId="19" xfId="63" applyNumberFormat="1" applyFont="1" applyFill="1" applyBorder="1" applyAlignment="1">
      <alignment horizontal="right"/>
      <protection/>
    </xf>
    <xf numFmtId="3" fontId="6" fillId="0" borderId="19" xfId="63" applyNumberFormat="1" applyFont="1" applyFill="1" applyBorder="1" applyAlignment="1">
      <alignment horizontal="right"/>
      <protection/>
    </xf>
    <xf numFmtId="3" fontId="5" fillId="0" borderId="24" xfId="56" applyNumberFormat="1" applyFont="1" applyFill="1" applyBorder="1" applyAlignment="1">
      <alignment/>
      <protection/>
    </xf>
    <xf numFmtId="3" fontId="5" fillId="0" borderId="19" xfId="59" applyNumberFormat="1" applyFont="1" applyFill="1" applyBorder="1" applyAlignment="1">
      <alignment/>
      <protection/>
    </xf>
    <xf numFmtId="3" fontId="5" fillId="0" borderId="24" xfId="59" applyNumberFormat="1" applyFont="1" applyFill="1" applyBorder="1" applyAlignment="1">
      <alignment horizontal="right"/>
      <protection/>
    </xf>
    <xf numFmtId="3" fontId="5" fillId="0" borderId="128" xfId="0" applyNumberFormat="1" applyFont="1" applyFill="1" applyBorder="1" applyAlignment="1">
      <alignment horizontal="right" wrapText="1"/>
    </xf>
    <xf numFmtId="3" fontId="5" fillId="0" borderId="20" xfId="59" applyNumberFormat="1" applyFont="1" applyFill="1" applyBorder="1" applyAlignment="1">
      <alignment/>
      <protection/>
    </xf>
    <xf numFmtId="3" fontId="5" fillId="0" borderId="398" xfId="0" applyNumberFormat="1" applyFont="1" applyFill="1" applyBorder="1" applyAlignment="1">
      <alignment/>
    </xf>
    <xf numFmtId="3" fontId="6" fillId="0" borderId="128" xfId="0" applyNumberFormat="1" applyFont="1" applyFill="1" applyBorder="1" applyAlignment="1">
      <alignment/>
    </xf>
    <xf numFmtId="49" fontId="34" fillId="2" borderId="204" xfId="0" applyNumberFormat="1" applyFont="1" applyFill="1" applyBorder="1" applyAlignment="1">
      <alignment horizontal="center" vertical="center" wrapText="1"/>
    </xf>
    <xf numFmtId="3" fontId="31" fillId="0" borderId="137" xfId="0" applyNumberFormat="1" applyFont="1" applyFill="1" applyBorder="1" applyAlignment="1">
      <alignment horizontal="right"/>
    </xf>
    <xf numFmtId="49" fontId="28" fillId="0" borderId="259" xfId="58" applyNumberFormat="1" applyFont="1" applyFill="1" applyBorder="1" applyAlignment="1">
      <alignment horizontal="left"/>
      <protection/>
    </xf>
    <xf numFmtId="49" fontId="9" fillId="4" borderId="62" xfId="58" applyNumberFormat="1" applyFont="1" applyFill="1" applyBorder="1" applyAlignment="1">
      <alignment horizontal="left"/>
      <protection/>
    </xf>
    <xf numFmtId="14" fontId="9" fillId="4" borderId="164" xfId="58" applyNumberFormat="1" applyFont="1" applyFill="1" applyBorder="1" applyAlignment="1">
      <alignment horizontal="left"/>
      <protection/>
    </xf>
    <xf numFmtId="3" fontId="9" fillId="4" borderId="381" xfId="0" applyNumberFormat="1" applyFont="1" applyFill="1" applyBorder="1" applyAlignment="1">
      <alignment horizontal="right"/>
    </xf>
    <xf numFmtId="3" fontId="5" fillId="22" borderId="192" xfId="56" applyNumberFormat="1" applyFont="1" applyFill="1" applyBorder="1">
      <alignment/>
      <protection/>
    </xf>
    <xf numFmtId="3" fontId="5" fillId="0" borderId="190" xfId="56" applyNumberFormat="1" applyFont="1" applyFill="1" applyBorder="1">
      <alignment/>
      <protection/>
    </xf>
    <xf numFmtId="3" fontId="5" fillId="0" borderId="272" xfId="56" applyNumberFormat="1" applyFont="1" applyFill="1" applyBorder="1">
      <alignment/>
      <protection/>
    </xf>
    <xf numFmtId="3" fontId="5" fillId="0" borderId="200" xfId="56" applyNumberFormat="1" applyFont="1" applyFill="1" applyBorder="1">
      <alignment/>
      <protection/>
    </xf>
    <xf numFmtId="3" fontId="5" fillId="0" borderId="388" xfId="56" applyNumberFormat="1" applyFont="1" applyFill="1" applyBorder="1">
      <alignment/>
      <protection/>
    </xf>
    <xf numFmtId="3" fontId="5" fillId="0" borderId="270" xfId="56" applyNumberFormat="1" applyFont="1" applyFill="1" applyBorder="1">
      <alignment/>
      <protection/>
    </xf>
    <xf numFmtId="3" fontId="5" fillId="0" borderId="349" xfId="56" applyNumberFormat="1" applyFont="1" applyFill="1" applyBorder="1">
      <alignment/>
      <protection/>
    </xf>
    <xf numFmtId="3" fontId="9" fillId="0" borderId="352" xfId="0" applyNumberFormat="1" applyFont="1" applyFill="1" applyBorder="1" applyAlignment="1">
      <alignment/>
    </xf>
    <xf numFmtId="3" fontId="6" fillId="0" borderId="352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5" fillId="0" borderId="365" xfId="0" applyNumberFormat="1" applyFont="1" applyFill="1" applyBorder="1" applyAlignment="1">
      <alignment/>
    </xf>
    <xf numFmtId="3" fontId="9" fillId="23" borderId="399" xfId="56" applyNumberFormat="1" applyFont="1" applyFill="1" applyBorder="1" applyAlignment="1">
      <alignment horizontal="right"/>
      <protection/>
    </xf>
    <xf numFmtId="3" fontId="5" fillId="0" borderId="104" xfId="0" applyNumberFormat="1" applyFont="1" applyFill="1" applyBorder="1" applyAlignment="1">
      <alignment/>
    </xf>
    <xf numFmtId="3" fontId="9" fillId="23" borderId="186" xfId="56" applyNumberFormat="1" applyFont="1" applyFill="1" applyBorder="1" applyAlignment="1">
      <alignment horizontal="right"/>
      <protection/>
    </xf>
    <xf numFmtId="3" fontId="9" fillId="0" borderId="86" xfId="56" applyNumberFormat="1" applyFont="1" applyFill="1" applyBorder="1">
      <alignment/>
      <protection/>
    </xf>
    <xf numFmtId="3" fontId="6" fillId="0" borderId="400" xfId="0" applyNumberFormat="1" applyFont="1" applyFill="1" applyBorder="1" applyAlignment="1">
      <alignment/>
    </xf>
    <xf numFmtId="3" fontId="9" fillId="0" borderId="19" xfId="56" applyNumberFormat="1" applyFont="1" applyFill="1" applyBorder="1">
      <alignment/>
      <protection/>
    </xf>
    <xf numFmtId="49" fontId="28" fillId="0" borderId="401" xfId="58" applyNumberFormat="1" applyFont="1" applyFill="1" applyBorder="1" applyAlignment="1">
      <alignment horizontal="left"/>
      <protection/>
    </xf>
    <xf numFmtId="49" fontId="5" fillId="0" borderId="293" xfId="56" applyNumberFormat="1" applyFont="1" applyFill="1" applyBorder="1" applyAlignment="1">
      <alignment horizontal="left" indent="1"/>
      <protection/>
    </xf>
    <xf numFmtId="3" fontId="5" fillId="0" borderId="269" xfId="56" applyNumberFormat="1" applyFont="1" applyFill="1" applyBorder="1" applyAlignment="1">
      <alignment horizontal="right"/>
      <protection/>
    </xf>
    <xf numFmtId="3" fontId="5" fillId="0" borderId="269" xfId="56" applyNumberFormat="1" applyFont="1" applyFill="1" applyBorder="1">
      <alignment/>
      <protection/>
    </xf>
    <xf numFmtId="3" fontId="5" fillId="0" borderId="267" xfId="56" applyNumberFormat="1" applyFont="1" applyFill="1" applyBorder="1">
      <alignment/>
      <protection/>
    </xf>
    <xf numFmtId="3" fontId="5" fillId="0" borderId="266" xfId="0" applyNumberFormat="1" applyFont="1" applyFill="1" applyBorder="1" applyAlignment="1">
      <alignment/>
    </xf>
    <xf numFmtId="49" fontId="5" fillId="0" borderId="402" xfId="0" applyNumberFormat="1" applyFont="1" applyFill="1" applyBorder="1" applyAlignment="1">
      <alignment horizontal="left"/>
    </xf>
    <xf numFmtId="0" fontId="5" fillId="0" borderId="403" xfId="56" applyFont="1" applyFill="1" applyBorder="1" applyAlignment="1">
      <alignment horizontal="left"/>
      <protection/>
    </xf>
    <xf numFmtId="3" fontId="5" fillId="0" borderId="404" xfId="56" applyNumberFormat="1" applyFont="1" applyFill="1" applyBorder="1" applyAlignment="1">
      <alignment horizontal="right"/>
      <protection/>
    </xf>
    <xf numFmtId="3" fontId="5" fillId="0" borderId="405" xfId="0" applyNumberFormat="1" applyFont="1" applyFill="1" applyBorder="1" applyAlignment="1">
      <alignment/>
    </xf>
    <xf numFmtId="3" fontId="5" fillId="0" borderId="406" xfId="0" applyNumberFormat="1" applyFont="1" applyFill="1" applyBorder="1" applyAlignment="1">
      <alignment/>
    </xf>
    <xf numFmtId="3" fontId="5" fillId="0" borderId="407" xfId="0" applyNumberFormat="1" applyFont="1" applyFill="1" applyBorder="1" applyAlignment="1">
      <alignment/>
    </xf>
    <xf numFmtId="3" fontId="5" fillId="0" borderId="408" xfId="0" applyNumberFormat="1" applyFont="1" applyFill="1" applyBorder="1" applyAlignment="1">
      <alignment/>
    </xf>
    <xf numFmtId="49" fontId="5" fillId="0" borderId="409" xfId="56" applyNumberFormat="1" applyFont="1" applyFill="1" applyBorder="1" applyAlignment="1">
      <alignment horizontal="left"/>
      <protection/>
    </xf>
    <xf numFmtId="49" fontId="5" fillId="0" borderId="410" xfId="56" applyNumberFormat="1" applyFont="1" applyFill="1" applyBorder="1" applyAlignment="1">
      <alignment horizontal="left" indent="1"/>
      <protection/>
    </xf>
    <xf numFmtId="3" fontId="5" fillId="0" borderId="276" xfId="56" applyNumberFormat="1" applyFont="1" applyFill="1" applyBorder="1" applyAlignment="1">
      <alignment horizontal="right"/>
      <protection/>
    </xf>
    <xf numFmtId="3" fontId="5" fillId="22" borderId="411" xfId="61" applyNumberFormat="1" applyFont="1" applyFill="1" applyBorder="1" applyAlignment="1">
      <alignment horizontal="right"/>
      <protection/>
    </xf>
    <xf numFmtId="3" fontId="5" fillId="0" borderId="412" xfId="56" applyNumberFormat="1" applyFont="1" applyFill="1" applyBorder="1">
      <alignment/>
      <protection/>
    </xf>
    <xf numFmtId="3" fontId="5" fillId="0" borderId="412" xfId="0" applyNumberFormat="1" applyFont="1" applyFill="1" applyBorder="1" applyAlignment="1">
      <alignment/>
    </xf>
    <xf numFmtId="3" fontId="5" fillId="0" borderId="413" xfId="0" applyNumberFormat="1" applyFont="1" applyFill="1" applyBorder="1" applyAlignment="1">
      <alignment/>
    </xf>
    <xf numFmtId="3" fontId="5" fillId="0" borderId="414" xfId="0" applyNumberFormat="1" applyFont="1" applyFill="1" applyBorder="1" applyAlignment="1">
      <alignment/>
    </xf>
    <xf numFmtId="3" fontId="5" fillId="0" borderId="293" xfId="56" applyNumberFormat="1" applyFont="1" applyFill="1" applyBorder="1">
      <alignment/>
      <protection/>
    </xf>
    <xf numFmtId="3" fontId="5" fillId="0" borderId="403" xfId="0" applyNumberFormat="1" applyFont="1" applyFill="1" applyBorder="1" applyAlignment="1">
      <alignment/>
    </xf>
    <xf numFmtId="3" fontId="5" fillId="0" borderId="116" xfId="56" applyNumberFormat="1" applyFont="1" applyFill="1" applyBorder="1">
      <alignment/>
      <protection/>
    </xf>
    <xf numFmtId="3" fontId="5" fillId="0" borderId="117" xfId="56" applyNumberFormat="1" applyFont="1" applyFill="1" applyBorder="1">
      <alignment/>
      <protection/>
    </xf>
    <xf numFmtId="3" fontId="5" fillId="0" borderId="415" xfId="0" applyNumberFormat="1" applyFont="1" applyFill="1" applyBorder="1" applyAlignment="1">
      <alignment/>
    </xf>
    <xf numFmtId="3" fontId="5" fillId="0" borderId="416" xfId="0" applyNumberFormat="1" applyFont="1" applyFill="1" applyBorder="1" applyAlignment="1">
      <alignment/>
    </xf>
    <xf numFmtId="3" fontId="5" fillId="0" borderId="24" xfId="61" applyNumberFormat="1" applyFont="1" applyFill="1" applyBorder="1" applyAlignment="1">
      <alignment horizontal="right"/>
      <protection/>
    </xf>
    <xf numFmtId="3" fontId="5" fillId="0" borderId="19" xfId="61" applyNumberFormat="1" applyFont="1" applyFill="1" applyBorder="1" applyAlignment="1">
      <alignment horizontal="right"/>
      <protection/>
    </xf>
    <xf numFmtId="3" fontId="5" fillId="0" borderId="242" xfId="0" applyNumberFormat="1" applyFont="1" applyFill="1" applyBorder="1" applyAlignment="1">
      <alignment/>
    </xf>
    <xf numFmtId="3" fontId="5" fillId="0" borderId="21" xfId="56" applyNumberFormat="1" applyFont="1" applyFill="1" applyBorder="1">
      <alignment/>
      <protection/>
    </xf>
    <xf numFmtId="49" fontId="5" fillId="0" borderId="242" xfId="56" applyNumberFormat="1" applyFont="1" applyFill="1" applyBorder="1" applyAlignment="1">
      <alignment horizontal="left" indent="1"/>
      <protection/>
    </xf>
    <xf numFmtId="14" fontId="8" fillId="20" borderId="29" xfId="58" applyNumberFormat="1" applyFont="1" applyFill="1" applyBorder="1" applyAlignment="1">
      <alignment horizontal="left"/>
      <protection/>
    </xf>
    <xf numFmtId="14" fontId="9" fillId="23" borderId="13" xfId="58" applyNumberFormat="1" applyFont="1" applyFill="1" applyBorder="1" applyAlignment="1">
      <alignment horizontal="left"/>
      <protection/>
    </xf>
    <xf numFmtId="3" fontId="5" fillId="0" borderId="22" xfId="61" applyNumberFormat="1" applyFont="1" applyFill="1" applyBorder="1" applyAlignment="1">
      <alignment horizontal="left"/>
      <protection/>
    </xf>
    <xf numFmtId="3" fontId="5" fillId="0" borderId="10" xfId="57" applyNumberFormat="1" applyFont="1" applyFill="1" applyBorder="1" applyAlignment="1">
      <alignment horizontal="left"/>
      <protection/>
    </xf>
    <xf numFmtId="3" fontId="5" fillId="0" borderId="10" xfId="61" applyNumberFormat="1" applyFont="1" applyFill="1" applyBorder="1" applyAlignment="1">
      <alignment horizontal="left"/>
      <protection/>
    </xf>
    <xf numFmtId="49" fontId="5" fillId="0" borderId="72" xfId="56" applyNumberFormat="1" applyFont="1" applyFill="1" applyBorder="1" applyAlignment="1">
      <alignment horizontal="left" indent="1"/>
      <protection/>
    </xf>
    <xf numFmtId="3" fontId="9" fillId="0" borderId="65" xfId="0" applyNumberFormat="1" applyFont="1" applyFill="1" applyBorder="1" applyAlignment="1">
      <alignment/>
    </xf>
    <xf numFmtId="3" fontId="6" fillId="0" borderId="71" xfId="0" applyNumberFormat="1" applyFont="1" applyFill="1" applyBorder="1" applyAlignment="1">
      <alignment/>
    </xf>
    <xf numFmtId="3" fontId="5" fillId="0" borderId="345" xfId="58" applyNumberFormat="1" applyFont="1" applyFill="1" applyBorder="1" applyAlignment="1">
      <alignment/>
      <protection/>
    </xf>
    <xf numFmtId="3" fontId="5" fillId="0" borderId="346" xfId="58" applyNumberFormat="1" applyFont="1" applyFill="1" applyBorder="1" applyAlignment="1">
      <alignment/>
      <protection/>
    </xf>
    <xf numFmtId="3" fontId="5" fillId="0" borderId="74" xfId="58" applyNumberFormat="1" applyFont="1" applyFill="1" applyBorder="1" applyAlignment="1">
      <alignment/>
      <protection/>
    </xf>
    <xf numFmtId="3" fontId="5" fillId="0" borderId="75" xfId="58" applyNumberFormat="1" applyFont="1" applyFill="1" applyBorder="1" applyAlignment="1">
      <alignment/>
      <protection/>
    </xf>
    <xf numFmtId="3" fontId="5" fillId="0" borderId="152" xfId="58" applyNumberFormat="1" applyFont="1" applyFill="1" applyBorder="1" applyAlignment="1">
      <alignment/>
      <protection/>
    </xf>
    <xf numFmtId="3" fontId="5" fillId="0" borderId="65" xfId="56" applyNumberFormat="1" applyFont="1" applyFill="1" applyBorder="1" applyAlignment="1">
      <alignment wrapText="1"/>
      <protection/>
    </xf>
    <xf numFmtId="3" fontId="9" fillId="0" borderId="65" xfId="0" applyNumberFormat="1" applyFont="1" applyFill="1" applyBorder="1" applyAlignment="1">
      <alignment/>
    </xf>
    <xf numFmtId="3" fontId="6" fillId="0" borderId="65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/>
    </xf>
    <xf numFmtId="3" fontId="9" fillId="0" borderId="63" xfId="58" applyNumberFormat="1" applyFont="1" applyFill="1" applyBorder="1" applyAlignment="1">
      <alignment horizontal="right"/>
      <protection/>
    </xf>
    <xf numFmtId="49" fontId="6" fillId="0" borderId="62" xfId="0" applyNumberFormat="1" applyFont="1" applyFill="1" applyBorder="1" applyAlignment="1">
      <alignment/>
    </xf>
    <xf numFmtId="49" fontId="6" fillId="0" borderId="69" xfId="56" applyNumberFormat="1" applyFont="1" applyFill="1" applyBorder="1" applyAlignment="1">
      <alignment horizontal="left" indent="1"/>
      <protection/>
    </xf>
    <xf numFmtId="3" fontId="6" fillId="0" borderId="206" xfId="56" applyNumberFormat="1" applyFont="1" applyFill="1" applyBorder="1" applyAlignment="1">
      <alignment horizontal="right"/>
      <protection/>
    </xf>
    <xf numFmtId="3" fontId="6" fillId="0" borderId="155" xfId="0" applyNumberFormat="1" applyFont="1" applyFill="1" applyBorder="1" applyAlignment="1">
      <alignment/>
    </xf>
    <xf numFmtId="3" fontId="6" fillId="0" borderId="185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69" xfId="0" applyNumberFormat="1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5" fillId="0" borderId="417" xfId="58" applyNumberFormat="1" applyFont="1" applyFill="1" applyBorder="1" applyAlignment="1">
      <alignment horizontal="left"/>
      <protection/>
    </xf>
    <xf numFmtId="3" fontId="5" fillId="0" borderId="418" xfId="58" applyNumberFormat="1" applyFont="1" applyFill="1" applyBorder="1" applyAlignment="1">
      <alignment/>
      <protection/>
    </xf>
    <xf numFmtId="3" fontId="5" fillId="22" borderId="419" xfId="56" applyNumberFormat="1" applyFont="1" applyFill="1" applyBorder="1">
      <alignment/>
      <protection/>
    </xf>
    <xf numFmtId="3" fontId="5" fillId="0" borderId="420" xfId="56" applyNumberFormat="1" applyFont="1" applyFill="1" applyBorder="1">
      <alignment/>
      <protection/>
    </xf>
    <xf numFmtId="3" fontId="5" fillId="0" borderId="420" xfId="0" applyNumberFormat="1" applyFont="1" applyFill="1" applyBorder="1" applyAlignment="1">
      <alignment/>
    </xf>
    <xf numFmtId="3" fontId="5" fillId="0" borderId="367" xfId="58" applyNumberFormat="1" applyFont="1" applyFill="1" applyBorder="1" applyAlignment="1">
      <alignment horizontal="left"/>
      <protection/>
    </xf>
    <xf numFmtId="3" fontId="5" fillId="0" borderId="285" xfId="58" applyNumberFormat="1" applyFont="1" applyFill="1" applyBorder="1" applyAlignment="1">
      <alignment/>
      <protection/>
    </xf>
    <xf numFmtId="3" fontId="5" fillId="0" borderId="283" xfId="56" applyNumberFormat="1" applyFont="1" applyFill="1" applyBorder="1">
      <alignment/>
      <protection/>
    </xf>
    <xf numFmtId="3" fontId="5" fillId="0" borderId="421" xfId="56" applyNumberFormat="1" applyFont="1" applyFill="1" applyBorder="1">
      <alignment/>
      <protection/>
    </xf>
    <xf numFmtId="3" fontId="5" fillId="0" borderId="422" xfId="56" applyNumberFormat="1" applyFont="1" applyFill="1" applyBorder="1">
      <alignment/>
      <protection/>
    </xf>
    <xf numFmtId="3" fontId="5" fillId="0" borderId="308" xfId="0" applyNumberFormat="1" applyFont="1" applyFill="1" applyBorder="1" applyAlignment="1">
      <alignment/>
    </xf>
    <xf numFmtId="3" fontId="8" fillId="20" borderId="82" xfId="0" applyNumberFormat="1" applyFont="1" applyFill="1" applyBorder="1" applyAlignment="1">
      <alignment horizontal="right"/>
    </xf>
    <xf numFmtId="3" fontId="9" fillId="4" borderId="81" xfId="0" applyNumberFormat="1" applyFont="1" applyFill="1" applyBorder="1" applyAlignment="1">
      <alignment horizontal="right"/>
    </xf>
    <xf numFmtId="3" fontId="5" fillId="0" borderId="423" xfId="56" applyNumberFormat="1" applyFont="1" applyFill="1" applyBorder="1">
      <alignment/>
      <protection/>
    </xf>
    <xf numFmtId="3" fontId="5" fillId="0" borderId="424" xfId="56" applyNumberFormat="1" applyFont="1" applyFill="1" applyBorder="1">
      <alignment/>
      <protection/>
    </xf>
    <xf numFmtId="3" fontId="31" fillId="0" borderId="425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5" fillId="0" borderId="150" xfId="0" applyNumberFormat="1" applyFont="1" applyFill="1" applyBorder="1" applyAlignment="1">
      <alignment horizontal="right"/>
    </xf>
    <xf numFmtId="3" fontId="8" fillId="0" borderId="269" xfId="0" applyNumberFormat="1" applyFont="1" applyFill="1" applyBorder="1" applyAlignment="1">
      <alignment vertical="center"/>
    </xf>
    <xf numFmtId="3" fontId="8" fillId="0" borderId="266" xfId="0" applyNumberFormat="1" applyFont="1" applyFill="1" applyBorder="1" applyAlignment="1">
      <alignment vertical="center"/>
    </xf>
    <xf numFmtId="3" fontId="13" fillId="0" borderId="269" xfId="0" applyNumberFormat="1" applyFont="1" applyFill="1" applyBorder="1" applyAlignment="1">
      <alignment vertical="center"/>
    </xf>
    <xf numFmtId="3" fontId="13" fillId="0" borderId="266" xfId="0" applyNumberFormat="1" applyFont="1" applyFill="1" applyBorder="1" applyAlignment="1">
      <alignment vertical="center"/>
    </xf>
    <xf numFmtId="3" fontId="13" fillId="0" borderId="190" xfId="0" applyNumberFormat="1" applyFont="1" applyFill="1" applyBorder="1" applyAlignment="1">
      <alignment vertical="center"/>
    </xf>
    <xf numFmtId="3" fontId="13" fillId="0" borderId="272" xfId="0" applyNumberFormat="1" applyFont="1" applyFill="1" applyBorder="1" applyAlignment="1">
      <alignment vertical="center"/>
    </xf>
    <xf numFmtId="3" fontId="23" fillId="0" borderId="0" xfId="0" applyNumberFormat="1" applyFont="1" applyAlignment="1">
      <alignment/>
    </xf>
    <xf numFmtId="0" fontId="5" fillId="0" borderId="273" xfId="0" applyFont="1" applyFill="1" applyBorder="1" applyAlignment="1">
      <alignment/>
    </xf>
    <xf numFmtId="0" fontId="56" fillId="0" borderId="0" xfId="0" applyFont="1" applyAlignment="1">
      <alignment vertical="center"/>
    </xf>
    <xf numFmtId="3" fontId="55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57" fillId="0" borderId="273" xfId="0" applyFont="1" applyFill="1" applyBorder="1" applyAlignment="1">
      <alignment vertical="center"/>
    </xf>
    <xf numFmtId="3" fontId="14" fillId="0" borderId="127" xfId="0" applyNumberFormat="1" applyFont="1" applyFill="1" applyBorder="1" applyAlignment="1">
      <alignment vertical="center"/>
    </xf>
    <xf numFmtId="3" fontId="14" fillId="0" borderId="126" xfId="0" applyNumberFormat="1" applyFont="1" applyFill="1" applyBorder="1" applyAlignment="1">
      <alignment vertical="center"/>
    </xf>
    <xf numFmtId="3" fontId="14" fillId="0" borderId="201" xfId="0" applyNumberFormat="1" applyFont="1" applyFill="1" applyBorder="1" applyAlignment="1">
      <alignment vertical="center"/>
    </xf>
    <xf numFmtId="3" fontId="14" fillId="0" borderId="270" xfId="0" applyNumberFormat="1" applyFont="1" applyFill="1" applyBorder="1" applyAlignment="1">
      <alignment vertical="center"/>
    </xf>
    <xf numFmtId="0" fontId="58" fillId="0" borderId="0" xfId="0" applyFont="1" applyAlignment="1">
      <alignment vertical="center"/>
    </xf>
    <xf numFmtId="3" fontId="59" fillId="0" borderId="0" xfId="0" applyNumberFormat="1" applyFont="1" applyAlignment="1">
      <alignment vertical="center"/>
    </xf>
    <xf numFmtId="3" fontId="9" fillId="0" borderId="426" xfId="0" applyNumberFormat="1" applyFont="1" applyBorder="1" applyAlignment="1">
      <alignment/>
    </xf>
    <xf numFmtId="3" fontId="9" fillId="0" borderId="427" xfId="0" applyNumberFormat="1" applyFont="1" applyBorder="1" applyAlignment="1">
      <alignment/>
    </xf>
    <xf numFmtId="3" fontId="9" fillId="0" borderId="428" xfId="0" applyNumberFormat="1" applyFont="1" applyFill="1" applyBorder="1" applyAlignment="1">
      <alignment/>
    </xf>
    <xf numFmtId="3" fontId="9" fillId="0" borderId="429" xfId="0" applyNumberFormat="1" applyFont="1" applyFill="1" applyBorder="1" applyAlignment="1">
      <alignment/>
    </xf>
    <xf numFmtId="3" fontId="5" fillId="0" borderId="426" xfId="0" applyNumberFormat="1" applyFont="1" applyBorder="1" applyAlignment="1">
      <alignment/>
    </xf>
    <xf numFmtId="3" fontId="5" fillId="0" borderId="427" xfId="0" applyNumberFormat="1" applyFont="1" applyBorder="1" applyAlignment="1">
      <alignment/>
    </xf>
    <xf numFmtId="3" fontId="5" fillId="0" borderId="428" xfId="0" applyNumberFormat="1" applyFont="1" applyFill="1" applyBorder="1" applyAlignment="1">
      <alignment/>
    </xf>
    <xf numFmtId="3" fontId="5" fillId="0" borderId="429" xfId="0" applyNumberFormat="1" applyFont="1" applyFill="1" applyBorder="1" applyAlignment="1">
      <alignment/>
    </xf>
    <xf numFmtId="3" fontId="5" fillId="0" borderId="430" xfId="0" applyNumberFormat="1" applyFont="1" applyFill="1" applyBorder="1" applyAlignment="1">
      <alignment/>
    </xf>
    <xf numFmtId="3" fontId="9" fillId="0" borderId="431" xfId="0" applyNumberFormat="1" applyFont="1" applyBorder="1" applyAlignment="1">
      <alignment/>
    </xf>
    <xf numFmtId="3" fontId="9" fillId="0" borderId="432" xfId="0" applyNumberFormat="1" applyFont="1" applyBorder="1" applyAlignment="1">
      <alignment/>
    </xf>
    <xf numFmtId="3" fontId="9" fillId="0" borderId="433" xfId="0" applyNumberFormat="1" applyFont="1" applyFill="1" applyBorder="1" applyAlignment="1">
      <alignment/>
    </xf>
    <xf numFmtId="3" fontId="9" fillId="0" borderId="434" xfId="0" applyNumberFormat="1" applyFont="1" applyFill="1" applyBorder="1" applyAlignment="1">
      <alignment/>
    </xf>
    <xf numFmtId="0" fontId="5" fillId="0" borderId="430" xfId="0" applyFont="1" applyFill="1" applyBorder="1" applyAlignment="1">
      <alignment/>
    </xf>
    <xf numFmtId="0" fontId="25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5" fillId="0" borderId="435" xfId="0" applyFont="1" applyBorder="1" applyAlignment="1">
      <alignment/>
    </xf>
    <xf numFmtId="0" fontId="9" fillId="0" borderId="436" xfId="0" applyFont="1" applyBorder="1" applyAlignment="1">
      <alignment/>
    </xf>
    <xf numFmtId="0" fontId="14" fillId="0" borderId="437" xfId="0" applyFont="1" applyFill="1" applyBorder="1" applyAlignment="1">
      <alignment vertical="center"/>
    </xf>
    <xf numFmtId="0" fontId="5" fillId="0" borderId="437" xfId="0" applyFont="1" applyFill="1" applyBorder="1" applyAlignment="1">
      <alignment/>
    </xf>
    <xf numFmtId="0" fontId="5" fillId="0" borderId="437" xfId="0" applyFont="1" applyFill="1" applyBorder="1" applyAlignment="1">
      <alignment vertical="center"/>
    </xf>
    <xf numFmtId="0" fontId="5" fillId="0" borderId="197" xfId="0" applyFont="1" applyFill="1" applyBorder="1" applyAlignment="1">
      <alignment/>
    </xf>
    <xf numFmtId="3" fontId="5" fillId="0" borderId="105" xfId="0" applyNumberFormat="1" applyFont="1" applyFill="1" applyBorder="1" applyAlignment="1">
      <alignment/>
    </xf>
    <xf numFmtId="0" fontId="53" fillId="0" borderId="421" xfId="0" applyFont="1" applyFill="1" applyBorder="1" applyAlignment="1">
      <alignment vertical="center"/>
    </xf>
    <xf numFmtId="0" fontId="10" fillId="0" borderId="438" xfId="0" applyFont="1" applyBorder="1" applyAlignment="1">
      <alignment/>
    </xf>
    <xf numFmtId="0" fontId="7" fillId="0" borderId="438" xfId="0" applyFont="1" applyBorder="1" applyAlignment="1">
      <alignment/>
    </xf>
    <xf numFmtId="0" fontId="10" fillId="0" borderId="439" xfId="0" applyFont="1" applyBorder="1" applyAlignment="1">
      <alignment/>
    </xf>
    <xf numFmtId="0" fontId="7" fillId="0" borderId="440" xfId="0" applyFont="1" applyBorder="1" applyAlignment="1">
      <alignment/>
    </xf>
    <xf numFmtId="0" fontId="10" fillId="0" borderId="440" xfId="0" applyFont="1" applyBorder="1" applyAlignment="1">
      <alignment/>
    </xf>
    <xf numFmtId="0" fontId="15" fillId="0" borderId="441" xfId="0" applyFont="1" applyBorder="1" applyAlignment="1">
      <alignment/>
    </xf>
    <xf numFmtId="0" fontId="9" fillId="0" borderId="430" xfId="0" applyFont="1" applyBorder="1" applyAlignment="1">
      <alignment/>
    </xf>
    <xf numFmtId="0" fontId="5" fillId="0" borderId="430" xfId="0" applyFont="1" applyBorder="1" applyAlignment="1">
      <alignment/>
    </xf>
    <xf numFmtId="0" fontId="5" fillId="0" borderId="430" xfId="0" applyFont="1" applyFill="1" applyBorder="1" applyAlignment="1">
      <alignment horizontal="left" wrapText="1" indent="1"/>
    </xf>
    <xf numFmtId="0" fontId="5" fillId="0" borderId="430" xfId="0" applyFont="1" applyFill="1" applyBorder="1" applyAlignment="1">
      <alignment horizontal="left" indent="1"/>
    </xf>
    <xf numFmtId="16" fontId="5" fillId="0" borderId="430" xfId="0" applyNumberFormat="1" applyFont="1" applyBorder="1" applyAlignment="1">
      <alignment/>
    </xf>
    <xf numFmtId="0" fontId="5" fillId="0" borderId="430" xfId="0" applyFont="1" applyBorder="1" applyAlignment="1">
      <alignment horizontal="left" indent="1"/>
    </xf>
    <xf numFmtId="0" fontId="9" fillId="0" borderId="442" xfId="0" applyFont="1" applyBorder="1" applyAlignment="1">
      <alignment horizontal="left"/>
    </xf>
    <xf numFmtId="0" fontId="9" fillId="0" borderId="442" xfId="0" applyFont="1" applyBorder="1" applyAlignment="1">
      <alignment/>
    </xf>
    <xf numFmtId="0" fontId="14" fillId="0" borderId="266" xfId="0" applyFont="1" applyFill="1" applyBorder="1" applyAlignment="1">
      <alignment vertical="center"/>
    </xf>
    <xf numFmtId="0" fontId="5" fillId="0" borderId="243" xfId="0" applyFont="1" applyFill="1" applyBorder="1" applyAlignment="1">
      <alignment/>
    </xf>
    <xf numFmtId="0" fontId="5" fillId="0" borderId="243" xfId="0" applyFont="1" applyFill="1" applyBorder="1" applyAlignment="1">
      <alignment horizontal="right"/>
    </xf>
    <xf numFmtId="0" fontId="5" fillId="0" borderId="152" xfId="0" applyFont="1" applyFill="1" applyBorder="1" applyAlignment="1">
      <alignment horizontal="right"/>
    </xf>
    <xf numFmtId="0" fontId="5" fillId="0" borderId="443" xfId="0" applyFont="1" applyFill="1" applyBorder="1" applyAlignment="1">
      <alignment/>
    </xf>
    <xf numFmtId="0" fontId="5" fillId="0" borderId="202" xfId="0" applyFont="1" applyFill="1" applyBorder="1" applyAlignment="1">
      <alignment vertical="center"/>
    </xf>
    <xf numFmtId="0" fontId="5" fillId="0" borderId="202" xfId="0" applyFont="1" applyFill="1" applyBorder="1" applyAlignment="1">
      <alignment/>
    </xf>
    <xf numFmtId="0" fontId="14" fillId="0" borderId="150" xfId="0" applyFont="1" applyFill="1" applyBorder="1" applyAlignment="1">
      <alignment vertical="center"/>
    </xf>
    <xf numFmtId="3" fontId="14" fillId="0" borderId="207" xfId="0" applyNumberFormat="1" applyFont="1" applyFill="1" applyBorder="1" applyAlignment="1">
      <alignment vertical="center"/>
    </xf>
    <xf numFmtId="3" fontId="14" fillId="0" borderId="15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3" fontId="14" fillId="0" borderId="14" xfId="0" applyNumberFormat="1" applyFont="1" applyFill="1" applyBorder="1" applyAlignment="1">
      <alignment vertical="center"/>
    </xf>
    <xf numFmtId="0" fontId="14" fillId="0" borderId="444" xfId="0" applyFont="1" applyFill="1" applyBorder="1" applyAlignment="1">
      <alignment vertical="center"/>
    </xf>
    <xf numFmtId="0" fontId="57" fillId="0" borderId="143" xfId="0" applyFont="1" applyFill="1" applyBorder="1" applyAlignment="1">
      <alignment vertical="center"/>
    </xf>
    <xf numFmtId="0" fontId="5" fillId="0" borderId="203" xfId="0" applyFont="1" applyFill="1" applyBorder="1" applyAlignment="1">
      <alignment/>
    </xf>
    <xf numFmtId="3" fontId="9" fillId="0" borderId="427" xfId="0" applyNumberFormat="1" applyFont="1" applyFill="1" applyBorder="1" applyAlignment="1">
      <alignment/>
    </xf>
    <xf numFmtId="3" fontId="9" fillId="0" borderId="430" xfId="0" applyNumberFormat="1" applyFont="1" applyBorder="1" applyAlignment="1">
      <alignment/>
    </xf>
    <xf numFmtId="3" fontId="5" fillId="0" borderId="427" xfId="0" applyNumberFormat="1" applyFont="1" applyFill="1" applyBorder="1" applyAlignment="1">
      <alignment/>
    </xf>
    <xf numFmtId="3" fontId="5" fillId="0" borderId="430" xfId="0" applyNumberFormat="1" applyFont="1" applyBorder="1" applyAlignment="1">
      <alignment/>
    </xf>
    <xf numFmtId="3" fontId="9" fillId="0" borderId="432" xfId="0" applyNumberFormat="1" applyFont="1" applyFill="1" applyBorder="1" applyAlignment="1">
      <alignment/>
    </xf>
    <xf numFmtId="3" fontId="9" fillId="0" borderId="442" xfId="0" applyNumberFormat="1" applyFont="1" applyBorder="1" applyAlignment="1">
      <alignment/>
    </xf>
    <xf numFmtId="3" fontId="14" fillId="0" borderId="243" xfId="0" applyNumberFormat="1" applyFont="1" applyFill="1" applyBorder="1" applyAlignment="1">
      <alignment vertical="center"/>
    </xf>
    <xf numFmtId="3" fontId="14" fillId="0" borderId="150" xfId="0" applyNumberFormat="1" applyFont="1" applyFill="1" applyBorder="1" applyAlignment="1">
      <alignment vertical="center"/>
    </xf>
    <xf numFmtId="0" fontId="9" fillId="0" borderId="445" xfId="0" applyFont="1" applyBorder="1" applyAlignment="1">
      <alignment/>
    </xf>
    <xf numFmtId="3" fontId="9" fillId="0" borderId="446" xfId="0" applyNumberFormat="1" applyFont="1" applyBorder="1" applyAlignment="1">
      <alignment/>
    </xf>
    <xf numFmtId="3" fontId="9" fillId="0" borderId="447" xfId="0" applyNumberFormat="1" applyFont="1" applyBorder="1" applyAlignment="1">
      <alignment/>
    </xf>
    <xf numFmtId="3" fontId="9" fillId="0" borderId="448" xfId="0" applyNumberFormat="1" applyFont="1" applyFill="1" applyBorder="1" applyAlignment="1">
      <alignment/>
    </xf>
    <xf numFmtId="3" fontId="9" fillId="0" borderId="449" xfId="0" applyNumberFormat="1" applyFont="1" applyFill="1" applyBorder="1" applyAlignment="1">
      <alignment/>
    </xf>
    <xf numFmtId="3" fontId="9" fillId="0" borderId="447" xfId="0" applyNumberFormat="1" applyFont="1" applyFill="1" applyBorder="1" applyAlignment="1">
      <alignment/>
    </xf>
    <xf numFmtId="3" fontId="9" fillId="0" borderId="445" xfId="0" applyNumberFormat="1" applyFont="1" applyBorder="1" applyAlignment="1">
      <alignment/>
    </xf>
    <xf numFmtId="0" fontId="9" fillId="0" borderId="450" xfId="0" applyFont="1" applyBorder="1" applyAlignment="1">
      <alignment/>
    </xf>
    <xf numFmtId="0" fontId="14" fillId="0" borderId="55" xfId="0" applyFont="1" applyFill="1" applyBorder="1" applyAlignment="1">
      <alignment vertical="center"/>
    </xf>
    <xf numFmtId="3" fontId="5" fillId="0" borderId="151" xfId="0" applyNumberFormat="1" applyFont="1" applyFill="1" applyBorder="1" applyAlignment="1">
      <alignment horizontal="center" vertical="center" wrapText="1"/>
    </xf>
    <xf numFmtId="3" fontId="5" fillId="0" borderId="105" xfId="0" applyNumberFormat="1" applyFont="1" applyFill="1" applyBorder="1" applyAlignment="1">
      <alignment horizontal="center" vertical="center" wrapText="1"/>
    </xf>
    <xf numFmtId="3" fontId="5" fillId="0" borderId="75" xfId="0" applyNumberFormat="1" applyFont="1" applyFill="1" applyBorder="1" applyAlignment="1">
      <alignment horizontal="center" vertical="center" wrapText="1"/>
    </xf>
    <xf numFmtId="3" fontId="5" fillId="0" borderId="152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/>
    </xf>
    <xf numFmtId="0" fontId="53" fillId="0" borderId="139" xfId="0" applyFont="1" applyFill="1" applyBorder="1" applyAlignment="1">
      <alignment vertical="center"/>
    </xf>
    <xf numFmtId="0" fontId="5" fillId="0" borderId="451" xfId="0" applyFont="1" applyBorder="1" applyAlignment="1">
      <alignment/>
    </xf>
    <xf numFmtId="0" fontId="7" fillId="0" borderId="452" xfId="0" applyFont="1" applyBorder="1" applyAlignment="1">
      <alignment/>
    </xf>
    <xf numFmtId="0" fontId="5" fillId="0" borderId="453" xfId="0" applyFont="1" applyFill="1" applyBorder="1" applyAlignment="1">
      <alignment/>
    </xf>
    <xf numFmtId="3" fontId="5" fillId="0" borderId="454" xfId="0" applyNumberFormat="1" applyFont="1" applyBorder="1" applyAlignment="1">
      <alignment/>
    </xf>
    <xf numFmtId="3" fontId="5" fillId="0" borderId="455" xfId="0" applyNumberFormat="1" applyFont="1" applyBorder="1" applyAlignment="1">
      <alignment/>
    </xf>
    <xf numFmtId="3" fontId="5" fillId="0" borderId="456" xfId="0" applyNumberFormat="1" applyFont="1" applyFill="1" applyBorder="1" applyAlignment="1">
      <alignment/>
    </xf>
    <xf numFmtId="3" fontId="5" fillId="0" borderId="457" xfId="0" applyNumberFormat="1" applyFont="1" applyFill="1" applyBorder="1" applyAlignment="1">
      <alignment/>
    </xf>
    <xf numFmtId="3" fontId="5" fillId="0" borderId="455" xfId="0" applyNumberFormat="1" applyFont="1" applyFill="1" applyBorder="1" applyAlignment="1">
      <alignment/>
    </xf>
    <xf numFmtId="3" fontId="5" fillId="0" borderId="453" xfId="0" applyNumberFormat="1" applyFont="1" applyBorder="1" applyAlignment="1">
      <alignment/>
    </xf>
    <xf numFmtId="0" fontId="54" fillId="0" borderId="55" xfId="0" applyFont="1" applyBorder="1" applyAlignment="1">
      <alignment vertical="center"/>
    </xf>
    <xf numFmtId="0" fontId="53" fillId="0" borderId="143" xfId="0" applyFont="1" applyBorder="1" applyAlignment="1">
      <alignment vertical="center"/>
    </xf>
    <xf numFmtId="3" fontId="54" fillId="0" borderId="207" xfId="0" applyNumberFormat="1" applyFont="1" applyBorder="1" applyAlignment="1">
      <alignment vertical="center"/>
    </xf>
    <xf numFmtId="3" fontId="54" fillId="0" borderId="15" xfId="0" applyNumberFormat="1" applyFont="1" applyBorder="1" applyAlignment="1">
      <alignment vertical="center"/>
    </xf>
    <xf numFmtId="0" fontId="9" fillId="0" borderId="458" xfId="0" applyFont="1" applyBorder="1" applyAlignment="1">
      <alignment/>
    </xf>
    <xf numFmtId="0" fontId="7" fillId="0" borderId="421" xfId="0" applyFont="1" applyBorder="1" applyAlignment="1">
      <alignment/>
    </xf>
    <xf numFmtId="0" fontId="9" fillId="0" borderId="417" xfId="0" applyFont="1" applyBorder="1" applyAlignment="1">
      <alignment/>
    </xf>
    <xf numFmtId="3" fontId="9" fillId="0" borderId="418" xfId="0" applyNumberFormat="1" applyFont="1" applyBorder="1" applyAlignment="1">
      <alignment/>
    </xf>
    <xf numFmtId="3" fontId="9" fillId="0" borderId="420" xfId="0" applyNumberFormat="1" applyFont="1" applyBorder="1" applyAlignment="1">
      <alignment/>
    </xf>
    <xf numFmtId="3" fontId="9" fillId="0" borderId="419" xfId="0" applyNumberFormat="1" applyFont="1" applyFill="1" applyBorder="1" applyAlignment="1">
      <alignment/>
    </xf>
    <xf numFmtId="3" fontId="9" fillId="0" borderId="459" xfId="0" applyNumberFormat="1" applyFont="1" applyFill="1" applyBorder="1" applyAlignment="1">
      <alignment/>
    </xf>
    <xf numFmtId="3" fontId="9" fillId="0" borderId="420" xfId="0" applyNumberFormat="1" applyFont="1" applyFill="1" applyBorder="1" applyAlignment="1">
      <alignment/>
    </xf>
    <xf numFmtId="3" fontId="9" fillId="0" borderId="417" xfId="0" applyNumberFormat="1" applyFont="1" applyBorder="1" applyAlignment="1">
      <alignment/>
    </xf>
    <xf numFmtId="0" fontId="15" fillId="0" borderId="460" xfId="0" applyFont="1" applyBorder="1" applyAlignment="1">
      <alignment/>
    </xf>
    <xf numFmtId="0" fontId="5" fillId="0" borderId="460" xfId="0" applyFont="1" applyFill="1" applyBorder="1" applyAlignment="1">
      <alignment vertical="center"/>
    </xf>
    <xf numFmtId="0" fontId="5" fillId="0" borderId="417" xfId="0" applyFont="1" applyFill="1" applyBorder="1" applyAlignment="1">
      <alignment vertical="center"/>
    </xf>
    <xf numFmtId="3" fontId="5" fillId="0" borderId="418" xfId="0" applyNumberFormat="1" applyFont="1" applyFill="1" applyBorder="1" applyAlignment="1">
      <alignment vertical="center"/>
    </xf>
    <xf numFmtId="3" fontId="5" fillId="0" borderId="420" xfId="0" applyNumberFormat="1" applyFont="1" applyFill="1" applyBorder="1" applyAlignment="1">
      <alignment vertical="center"/>
    </xf>
    <xf numFmtId="3" fontId="5" fillId="0" borderId="459" xfId="0" applyNumberFormat="1" applyFont="1" applyFill="1" applyBorder="1" applyAlignment="1">
      <alignment vertical="center"/>
    </xf>
    <xf numFmtId="3" fontId="5" fillId="0" borderId="419" xfId="0" applyNumberFormat="1" applyFont="1" applyFill="1" applyBorder="1" applyAlignment="1">
      <alignment vertical="center"/>
    </xf>
    <xf numFmtId="3" fontId="5" fillId="0" borderId="417" xfId="0" applyNumberFormat="1" applyFont="1" applyFill="1" applyBorder="1" applyAlignment="1">
      <alignment vertical="center"/>
    </xf>
    <xf numFmtId="0" fontId="5" fillId="0" borderId="440" xfId="0" applyFont="1" applyFill="1" applyBorder="1" applyAlignment="1">
      <alignment vertical="center"/>
    </xf>
    <xf numFmtId="0" fontId="5" fillId="0" borderId="430" xfId="0" applyFont="1" applyFill="1" applyBorder="1" applyAlignment="1">
      <alignment vertical="center"/>
    </xf>
    <xf numFmtId="3" fontId="5" fillId="0" borderId="426" xfId="0" applyNumberFormat="1" applyFont="1" applyFill="1" applyBorder="1" applyAlignment="1">
      <alignment vertical="center"/>
    </xf>
    <xf numFmtId="3" fontId="5" fillId="0" borderId="427" xfId="0" applyNumberFormat="1" applyFont="1" applyFill="1" applyBorder="1" applyAlignment="1">
      <alignment vertical="center"/>
    </xf>
    <xf numFmtId="3" fontId="5" fillId="0" borderId="429" xfId="0" applyNumberFormat="1" applyFont="1" applyFill="1" applyBorder="1" applyAlignment="1">
      <alignment vertical="center"/>
    </xf>
    <xf numFmtId="3" fontId="5" fillId="0" borderId="428" xfId="0" applyNumberFormat="1" applyFont="1" applyFill="1" applyBorder="1" applyAlignment="1">
      <alignment vertical="center"/>
    </xf>
    <xf numFmtId="3" fontId="5" fillId="0" borderId="430" xfId="0" applyNumberFormat="1" applyFont="1" applyFill="1" applyBorder="1" applyAlignment="1">
      <alignment vertical="center"/>
    </xf>
    <xf numFmtId="0" fontId="5" fillId="0" borderId="440" xfId="0" applyFont="1" applyFill="1" applyBorder="1" applyAlignment="1">
      <alignment/>
    </xf>
    <xf numFmtId="3" fontId="5" fillId="0" borderId="426" xfId="0" applyNumberFormat="1" applyFont="1" applyFill="1" applyBorder="1" applyAlignment="1">
      <alignment/>
    </xf>
    <xf numFmtId="0" fontId="5" fillId="0" borderId="441" xfId="0" applyFont="1" applyFill="1" applyBorder="1" applyAlignment="1">
      <alignment/>
    </xf>
    <xf numFmtId="0" fontId="5" fillId="0" borderId="442" xfId="0" applyFont="1" applyFill="1" applyBorder="1" applyAlignment="1">
      <alignment/>
    </xf>
    <xf numFmtId="3" fontId="5" fillId="0" borderId="431" xfId="0" applyNumberFormat="1" applyFont="1" applyFill="1" applyBorder="1" applyAlignment="1">
      <alignment/>
    </xf>
    <xf numFmtId="3" fontId="5" fillId="0" borderId="432" xfId="0" applyNumberFormat="1" applyFont="1" applyFill="1" applyBorder="1" applyAlignment="1">
      <alignment/>
    </xf>
    <xf numFmtId="3" fontId="5" fillId="0" borderId="434" xfId="0" applyNumberFormat="1" applyFont="1" applyFill="1" applyBorder="1" applyAlignment="1">
      <alignment/>
    </xf>
    <xf numFmtId="3" fontId="5" fillId="0" borderId="433" xfId="0" applyNumberFormat="1" applyFont="1" applyFill="1" applyBorder="1" applyAlignment="1">
      <alignment/>
    </xf>
    <xf numFmtId="3" fontId="5" fillId="0" borderId="442" xfId="0" applyNumberFormat="1" applyFont="1" applyFill="1" applyBorder="1" applyAlignment="1">
      <alignment/>
    </xf>
    <xf numFmtId="0" fontId="5" fillId="0" borderId="460" xfId="0" applyFont="1" applyFill="1" applyBorder="1" applyAlignment="1">
      <alignment/>
    </xf>
    <xf numFmtId="0" fontId="5" fillId="0" borderId="417" xfId="0" applyFont="1" applyFill="1" applyBorder="1" applyAlignment="1">
      <alignment/>
    </xf>
    <xf numFmtId="3" fontId="5" fillId="0" borderId="418" xfId="0" applyNumberFormat="1" applyFont="1" applyFill="1" applyBorder="1" applyAlignment="1">
      <alignment/>
    </xf>
    <xf numFmtId="3" fontId="5" fillId="0" borderId="459" xfId="0" applyNumberFormat="1" applyFont="1" applyFill="1" applyBorder="1" applyAlignment="1">
      <alignment/>
    </xf>
    <xf numFmtId="3" fontId="5" fillId="0" borderId="419" xfId="0" applyNumberFormat="1" applyFont="1" applyFill="1" applyBorder="1" applyAlignment="1">
      <alignment/>
    </xf>
    <xf numFmtId="3" fontId="5" fillId="0" borderId="417" xfId="0" applyNumberFormat="1" applyFont="1" applyFill="1" applyBorder="1" applyAlignment="1">
      <alignment/>
    </xf>
    <xf numFmtId="0" fontId="5" fillId="0" borderId="442" xfId="0" applyFont="1" applyFill="1" applyBorder="1" applyAlignment="1">
      <alignment wrapText="1"/>
    </xf>
    <xf numFmtId="0" fontId="9" fillId="0" borderId="56" xfId="0" applyFont="1" applyBorder="1" applyAlignment="1">
      <alignment/>
    </xf>
    <xf numFmtId="0" fontId="5" fillId="0" borderId="58" xfId="0" applyFont="1" applyBorder="1" applyAlignment="1">
      <alignment/>
    </xf>
    <xf numFmtId="0" fontId="9" fillId="0" borderId="58" xfId="0" applyFont="1" applyBorder="1" applyAlignment="1">
      <alignment/>
    </xf>
    <xf numFmtId="16" fontId="5" fillId="0" borderId="58" xfId="0" applyNumberFormat="1" applyFont="1" applyBorder="1" applyAlignment="1">
      <alignment/>
    </xf>
    <xf numFmtId="0" fontId="9" fillId="0" borderId="62" xfId="0" applyFont="1" applyBorder="1" applyAlignment="1">
      <alignment/>
    </xf>
    <xf numFmtId="0" fontId="5" fillId="0" borderId="452" xfId="0" applyFont="1" applyFill="1" applyBorder="1" applyAlignment="1">
      <alignment/>
    </xf>
    <xf numFmtId="3" fontId="5" fillId="0" borderId="454" xfId="0" applyNumberFormat="1" applyFont="1" applyFill="1" applyBorder="1" applyAlignment="1">
      <alignment/>
    </xf>
    <xf numFmtId="0" fontId="5" fillId="0" borderId="453" xfId="0" applyFont="1" applyFill="1" applyBorder="1" applyAlignment="1">
      <alignment wrapText="1"/>
    </xf>
    <xf numFmtId="0" fontId="23" fillId="0" borderId="58" xfId="0" applyFont="1" applyBorder="1" applyAlignment="1">
      <alignment/>
    </xf>
    <xf numFmtId="0" fontId="0" fillId="0" borderId="58" xfId="0" applyBorder="1" applyAlignment="1">
      <alignment/>
    </xf>
    <xf numFmtId="0" fontId="0" fillId="0" borderId="61" xfId="0" applyFont="1" applyBorder="1" applyAlignment="1">
      <alignment/>
    </xf>
    <xf numFmtId="3" fontId="23" fillId="0" borderId="419" xfId="0" applyNumberFormat="1" applyFont="1" applyBorder="1" applyAlignment="1">
      <alignment/>
    </xf>
    <xf numFmtId="3" fontId="23" fillId="0" borderId="459" xfId="0" applyNumberFormat="1" applyFont="1" applyBorder="1" applyAlignment="1">
      <alignment/>
    </xf>
    <xf numFmtId="3" fontId="23" fillId="0" borderId="420" xfId="0" applyNumberFormat="1" applyFont="1" applyBorder="1" applyAlignment="1">
      <alignment/>
    </xf>
    <xf numFmtId="3" fontId="23" fillId="0" borderId="417" xfId="0" applyNumberFormat="1" applyFont="1" applyBorder="1" applyAlignment="1">
      <alignment/>
    </xf>
    <xf numFmtId="3" fontId="0" fillId="0" borderId="428" xfId="0" applyNumberFormat="1" applyBorder="1" applyAlignment="1">
      <alignment/>
    </xf>
    <xf numFmtId="3" fontId="0" fillId="0" borderId="429" xfId="0" applyNumberFormat="1" applyBorder="1" applyAlignment="1">
      <alignment/>
    </xf>
    <xf numFmtId="3" fontId="0" fillId="0" borderId="427" xfId="0" applyNumberFormat="1" applyBorder="1" applyAlignment="1">
      <alignment/>
    </xf>
    <xf numFmtId="3" fontId="0" fillId="0" borderId="430" xfId="0" applyNumberFormat="1" applyBorder="1" applyAlignment="1">
      <alignment/>
    </xf>
    <xf numFmtId="3" fontId="23" fillId="0" borderId="428" xfId="0" applyNumberFormat="1" applyFont="1" applyBorder="1" applyAlignment="1">
      <alignment/>
    </xf>
    <xf numFmtId="3" fontId="23" fillId="0" borderId="427" xfId="0" applyNumberFormat="1" applyFont="1" applyBorder="1" applyAlignment="1">
      <alignment/>
    </xf>
    <xf numFmtId="3" fontId="23" fillId="0" borderId="429" xfId="0" applyNumberFormat="1" applyFont="1" applyBorder="1" applyAlignment="1">
      <alignment/>
    </xf>
    <xf numFmtId="3" fontId="23" fillId="0" borderId="430" xfId="0" applyNumberFormat="1" applyFont="1" applyBorder="1" applyAlignment="1">
      <alignment/>
    </xf>
    <xf numFmtId="3" fontId="0" fillId="0" borderId="433" xfId="0" applyNumberFormat="1" applyBorder="1" applyAlignment="1">
      <alignment/>
    </xf>
    <xf numFmtId="3" fontId="0" fillId="0" borderId="434" xfId="0" applyNumberFormat="1" applyBorder="1" applyAlignment="1">
      <alignment/>
    </xf>
    <xf numFmtId="3" fontId="0" fillId="0" borderId="432" xfId="0" applyNumberFormat="1" applyBorder="1" applyAlignment="1">
      <alignment/>
    </xf>
    <xf numFmtId="3" fontId="0" fillId="0" borderId="442" xfId="0" applyNumberFormat="1" applyBorder="1" applyAlignment="1">
      <alignment/>
    </xf>
    <xf numFmtId="3" fontId="23" fillId="0" borderId="14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15" xfId="0" applyNumberFormat="1" applyFont="1" applyBorder="1" applyAlignment="1">
      <alignment/>
    </xf>
    <xf numFmtId="3" fontId="23" fillId="0" borderId="150" xfId="0" applyNumberFormat="1" applyFont="1" applyBorder="1" applyAlignment="1">
      <alignment/>
    </xf>
    <xf numFmtId="3" fontId="0" fillId="0" borderId="298" xfId="0" applyNumberFormat="1" applyFont="1" applyBorder="1" applyAlignment="1">
      <alignment/>
    </xf>
    <xf numFmtId="3" fontId="0" fillId="0" borderId="349" xfId="0" applyNumberFormat="1" applyFont="1" applyBorder="1" applyAlignment="1">
      <alignment/>
    </xf>
    <xf numFmtId="3" fontId="0" fillId="0" borderId="190" xfId="0" applyNumberFormat="1" applyFont="1" applyBorder="1" applyAlignment="1">
      <alignment/>
    </xf>
    <xf numFmtId="3" fontId="0" fillId="0" borderId="272" xfId="0" applyNumberFormat="1" applyFont="1" applyBorder="1" applyAlignment="1">
      <alignment/>
    </xf>
    <xf numFmtId="3" fontId="0" fillId="0" borderId="419" xfId="0" applyNumberFormat="1" applyFont="1" applyBorder="1" applyAlignment="1">
      <alignment/>
    </xf>
    <xf numFmtId="3" fontId="0" fillId="0" borderId="459" xfId="0" applyNumberFormat="1" applyFont="1" applyBorder="1" applyAlignment="1">
      <alignment/>
    </xf>
    <xf numFmtId="3" fontId="0" fillId="0" borderId="420" xfId="0" applyNumberFormat="1" applyFont="1" applyBorder="1" applyAlignment="1">
      <alignment/>
    </xf>
    <xf numFmtId="3" fontId="0" fillId="0" borderId="417" xfId="0" applyNumberFormat="1" applyFont="1" applyBorder="1" applyAlignment="1">
      <alignment/>
    </xf>
    <xf numFmtId="3" fontId="0" fillId="0" borderId="428" xfId="0" applyNumberFormat="1" applyFont="1" applyBorder="1" applyAlignment="1">
      <alignment/>
    </xf>
    <xf numFmtId="3" fontId="0" fillId="0" borderId="429" xfId="0" applyNumberFormat="1" applyFont="1" applyBorder="1" applyAlignment="1">
      <alignment/>
    </xf>
    <xf numFmtId="3" fontId="0" fillId="0" borderId="427" xfId="0" applyNumberFormat="1" applyFont="1" applyBorder="1" applyAlignment="1">
      <alignment/>
    </xf>
    <xf numFmtId="3" fontId="0" fillId="0" borderId="430" xfId="0" applyNumberFormat="1" applyFont="1" applyBorder="1" applyAlignment="1">
      <alignment/>
    </xf>
    <xf numFmtId="3" fontId="0" fillId="0" borderId="433" xfId="0" applyNumberFormat="1" applyFont="1" applyBorder="1" applyAlignment="1">
      <alignment/>
    </xf>
    <xf numFmtId="3" fontId="0" fillId="0" borderId="434" xfId="0" applyNumberFormat="1" applyFont="1" applyBorder="1" applyAlignment="1">
      <alignment/>
    </xf>
    <xf numFmtId="3" fontId="0" fillId="0" borderId="432" xfId="0" applyNumberFormat="1" applyFont="1" applyBorder="1" applyAlignment="1">
      <alignment/>
    </xf>
    <xf numFmtId="3" fontId="0" fillId="0" borderId="442" xfId="0" applyNumberFormat="1" applyFont="1" applyBorder="1" applyAlignment="1">
      <alignment/>
    </xf>
    <xf numFmtId="3" fontId="0" fillId="0" borderId="457" xfId="0" applyNumberFormat="1" applyFont="1" applyBorder="1" applyAlignment="1">
      <alignment/>
    </xf>
    <xf numFmtId="3" fontId="0" fillId="0" borderId="456" xfId="0" applyNumberFormat="1" applyFont="1" applyBorder="1" applyAlignment="1">
      <alignment/>
    </xf>
    <xf numFmtId="3" fontId="0" fillId="0" borderId="455" xfId="0" applyNumberFormat="1" applyFont="1" applyBorder="1" applyAlignment="1">
      <alignment/>
    </xf>
    <xf numFmtId="3" fontId="0" fillId="0" borderId="453" xfId="0" applyNumberFormat="1" applyFont="1" applyBorder="1" applyAlignment="1">
      <alignment/>
    </xf>
    <xf numFmtId="3" fontId="0" fillId="0" borderId="268" xfId="0" applyNumberFormat="1" applyFont="1" applyBorder="1" applyAlignment="1">
      <alignment/>
    </xf>
    <xf numFmtId="3" fontId="0" fillId="0" borderId="267" xfId="0" applyNumberFormat="1" applyFont="1" applyBorder="1" applyAlignment="1">
      <alignment/>
    </xf>
    <xf numFmtId="3" fontId="0" fillId="0" borderId="269" xfId="0" applyNumberFormat="1" applyFont="1" applyBorder="1" applyAlignment="1">
      <alignment/>
    </xf>
    <xf numFmtId="3" fontId="0" fillId="0" borderId="266" xfId="0" applyNumberFormat="1" applyFont="1" applyBorder="1" applyAlignment="1">
      <alignment/>
    </xf>
    <xf numFmtId="3" fontId="0" fillId="0" borderId="461" xfId="0" applyNumberFormat="1" applyFont="1" applyBorder="1" applyAlignment="1">
      <alignment/>
    </xf>
    <xf numFmtId="3" fontId="0" fillId="0" borderId="462" xfId="0" applyNumberFormat="1" applyFont="1" applyBorder="1" applyAlignment="1">
      <alignment/>
    </xf>
    <xf numFmtId="3" fontId="0" fillId="0" borderId="463" xfId="0" applyNumberFormat="1" applyFont="1" applyBorder="1" applyAlignment="1">
      <alignment/>
    </xf>
    <xf numFmtId="3" fontId="0" fillId="0" borderId="464" xfId="0" applyNumberFormat="1" applyFont="1" applyBorder="1" applyAlignment="1">
      <alignment/>
    </xf>
    <xf numFmtId="49" fontId="9" fillId="0" borderId="136" xfId="0" applyNumberFormat="1" applyFont="1" applyFill="1" applyBorder="1" applyAlignment="1">
      <alignment horizontal="center" vertical="center"/>
    </xf>
    <xf numFmtId="0" fontId="9" fillId="0" borderId="388" xfId="0" applyFont="1" applyFill="1" applyBorder="1" applyAlignment="1">
      <alignment horizontal="center" vertical="center"/>
    </xf>
    <xf numFmtId="3" fontId="14" fillId="0" borderId="139" xfId="0" applyNumberFormat="1" applyFont="1" applyFill="1" applyBorder="1" applyAlignment="1">
      <alignment vertical="center"/>
    </xf>
    <xf numFmtId="3" fontId="9" fillId="0" borderId="465" xfId="0" applyNumberFormat="1" applyFont="1" applyBorder="1" applyAlignment="1">
      <alignment/>
    </xf>
    <xf numFmtId="3" fontId="9" fillId="0" borderId="438" xfId="0" applyNumberFormat="1" applyFont="1" applyBorder="1" applyAlignment="1">
      <alignment/>
    </xf>
    <xf numFmtId="3" fontId="5" fillId="0" borderId="438" xfId="0" applyNumberFormat="1" applyFont="1" applyBorder="1" applyAlignment="1">
      <alignment/>
    </xf>
    <xf numFmtId="3" fontId="9" fillId="0" borderId="439" xfId="0" applyNumberFormat="1" applyFont="1" applyBorder="1" applyAlignment="1">
      <alignment/>
    </xf>
    <xf numFmtId="3" fontId="9" fillId="0" borderId="421" xfId="0" applyNumberFormat="1" applyFont="1" applyBorder="1" applyAlignment="1">
      <alignment/>
    </xf>
    <xf numFmtId="3" fontId="5" fillId="0" borderId="438" xfId="0" applyNumberFormat="1" applyFont="1" applyFill="1" applyBorder="1" applyAlignment="1">
      <alignment/>
    </xf>
    <xf numFmtId="3" fontId="5" fillId="0" borderId="466" xfId="0" applyNumberFormat="1" applyFont="1" applyFill="1" applyBorder="1" applyAlignment="1">
      <alignment/>
    </xf>
    <xf numFmtId="3" fontId="54" fillId="0" borderId="139" xfId="0" applyNumberFormat="1" applyFont="1" applyFill="1" applyBorder="1" applyAlignment="1">
      <alignment vertical="center"/>
    </xf>
    <xf numFmtId="3" fontId="14" fillId="0" borderId="200" xfId="0" applyNumberFormat="1" applyFont="1" applyFill="1" applyBorder="1" applyAlignment="1">
      <alignment vertical="center"/>
    </xf>
    <xf numFmtId="3" fontId="5" fillId="0" borderId="421" xfId="0" applyNumberFormat="1" applyFont="1" applyFill="1" applyBorder="1" applyAlignment="1">
      <alignment vertical="center"/>
    </xf>
    <xf numFmtId="3" fontId="5" fillId="0" borderId="438" xfId="0" applyNumberFormat="1" applyFont="1" applyFill="1" applyBorder="1" applyAlignment="1">
      <alignment vertical="center"/>
    </xf>
    <xf numFmtId="3" fontId="5" fillId="0" borderId="439" xfId="0" applyNumberFormat="1" applyFont="1" applyFill="1" applyBorder="1" applyAlignment="1">
      <alignment/>
    </xf>
    <xf numFmtId="3" fontId="5" fillId="0" borderId="421" xfId="0" applyNumberFormat="1" applyFont="1" applyFill="1" applyBorder="1" applyAlignment="1">
      <alignment/>
    </xf>
    <xf numFmtId="3" fontId="5" fillId="0" borderId="210" xfId="0" applyNumberFormat="1" applyFont="1" applyFill="1" applyBorder="1" applyAlignment="1">
      <alignment horizontal="center" vertical="center" wrapText="1"/>
    </xf>
    <xf numFmtId="3" fontId="9" fillId="0" borderId="446" xfId="0" applyNumberFormat="1" applyFont="1" applyFill="1" applyBorder="1" applyAlignment="1">
      <alignment/>
    </xf>
    <xf numFmtId="3" fontId="9" fillId="0" borderId="426" xfId="0" applyNumberFormat="1" applyFont="1" applyFill="1" applyBorder="1" applyAlignment="1">
      <alignment/>
    </xf>
    <xf numFmtId="3" fontId="9" fillId="0" borderId="431" xfId="0" applyNumberFormat="1" applyFont="1" applyFill="1" applyBorder="1" applyAlignment="1">
      <alignment/>
    </xf>
    <xf numFmtId="3" fontId="9" fillId="0" borderId="418" xfId="0" applyNumberFormat="1" applyFont="1" applyFill="1" applyBorder="1" applyAlignment="1">
      <alignment/>
    </xf>
    <xf numFmtId="3" fontId="9" fillId="0" borderId="455" xfId="0" applyNumberFormat="1" applyFont="1" applyFill="1" applyBorder="1" applyAlignment="1">
      <alignment/>
    </xf>
    <xf numFmtId="3" fontId="5" fillId="0" borderId="140" xfId="0" applyNumberFormat="1" applyFont="1" applyFill="1" applyBorder="1" applyAlignment="1">
      <alignment horizontal="center" vertical="center" wrapText="1"/>
    </xf>
    <xf numFmtId="3" fontId="9" fillId="0" borderId="465" xfId="0" applyNumberFormat="1" applyFont="1" applyFill="1" applyBorder="1" applyAlignment="1">
      <alignment/>
    </xf>
    <xf numFmtId="3" fontId="9" fillId="0" borderId="438" xfId="0" applyNumberFormat="1" applyFont="1" applyFill="1" applyBorder="1" applyAlignment="1">
      <alignment/>
    </xf>
    <xf numFmtId="3" fontId="9" fillId="0" borderId="439" xfId="0" applyNumberFormat="1" applyFont="1" applyFill="1" applyBorder="1" applyAlignment="1">
      <alignment/>
    </xf>
    <xf numFmtId="3" fontId="9" fillId="0" borderId="421" xfId="0" applyNumberFormat="1" applyFont="1" applyFill="1" applyBorder="1" applyAlignment="1">
      <alignment/>
    </xf>
    <xf numFmtId="3" fontId="9" fillId="0" borderId="466" xfId="0" applyNumberFormat="1" applyFont="1" applyFill="1" applyBorder="1" applyAlignment="1">
      <alignment/>
    </xf>
    <xf numFmtId="3" fontId="5" fillId="0" borderId="439" xfId="0" applyNumberFormat="1" applyFont="1" applyFill="1" applyBorder="1" applyAlignment="1">
      <alignment vertical="center"/>
    </xf>
    <xf numFmtId="3" fontId="5" fillId="0" borderId="466" xfId="0" applyNumberFormat="1" applyFont="1" applyFill="1" applyBorder="1" applyAlignment="1">
      <alignment vertical="center"/>
    </xf>
    <xf numFmtId="3" fontId="5" fillId="0" borderId="200" xfId="0" applyNumberFormat="1" applyFont="1" applyFill="1" applyBorder="1" applyAlignment="1">
      <alignment vertical="center"/>
    </xf>
    <xf numFmtId="3" fontId="9" fillId="0" borderId="136" xfId="0" applyNumberFormat="1" applyFont="1" applyFill="1" applyBorder="1" applyAlignment="1">
      <alignment horizontal="center" vertical="center" wrapText="1"/>
    </xf>
    <xf numFmtId="14" fontId="5" fillId="25" borderId="138" xfId="58" applyNumberFormat="1" applyFont="1" applyFill="1" applyBorder="1" applyAlignment="1">
      <alignment horizontal="left"/>
      <protection/>
    </xf>
    <xf numFmtId="14" fontId="8" fillId="0" borderId="293" xfId="58" applyNumberFormat="1" applyFont="1" applyFill="1" applyBorder="1" applyAlignment="1">
      <alignment horizontal="right" vertical="center"/>
      <protection/>
    </xf>
    <xf numFmtId="14" fontId="13" fillId="0" borderId="293" xfId="58" applyNumberFormat="1" applyFont="1" applyFill="1" applyBorder="1" applyAlignment="1">
      <alignment horizontal="right" vertical="center"/>
      <protection/>
    </xf>
    <xf numFmtId="14" fontId="13" fillId="0" borderId="388" xfId="58" applyNumberFormat="1" applyFont="1" applyFill="1" applyBorder="1" applyAlignment="1">
      <alignment horizontal="right" vertical="center"/>
      <protection/>
    </xf>
    <xf numFmtId="3" fontId="5" fillId="0" borderId="118" xfId="0" applyNumberFormat="1" applyFont="1" applyFill="1" applyBorder="1" applyAlignment="1">
      <alignment horizontal="center" vertical="center" wrapText="1"/>
    </xf>
    <xf numFmtId="3" fontId="5" fillId="0" borderId="207" xfId="0" applyNumberFormat="1" applyFont="1" applyFill="1" applyBorder="1" applyAlignment="1">
      <alignment horizontal="right"/>
    </xf>
    <xf numFmtId="3" fontId="8" fillId="0" borderId="232" xfId="0" applyNumberFormat="1" applyFont="1" applyFill="1" applyBorder="1" applyAlignment="1">
      <alignment vertical="center"/>
    </xf>
    <xf numFmtId="3" fontId="13" fillId="0" borderId="232" xfId="0" applyNumberFormat="1" applyFont="1" applyFill="1" applyBorder="1" applyAlignment="1">
      <alignment vertical="center"/>
    </xf>
    <xf numFmtId="3" fontId="13" fillId="0" borderId="348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horizontal="right"/>
    </xf>
    <xf numFmtId="3" fontId="5" fillId="0" borderId="138" xfId="0" applyNumberFormat="1" applyFont="1" applyFill="1" applyBorder="1" applyAlignment="1">
      <alignment horizontal="right"/>
    </xf>
    <xf numFmtId="3" fontId="8" fillId="0" borderId="293" xfId="0" applyNumberFormat="1" applyFont="1" applyFill="1" applyBorder="1" applyAlignment="1">
      <alignment vertical="center"/>
    </xf>
    <xf numFmtId="3" fontId="13" fillId="0" borderId="293" xfId="0" applyNumberFormat="1" applyFont="1" applyFill="1" applyBorder="1" applyAlignment="1">
      <alignment vertical="center"/>
    </xf>
    <xf numFmtId="3" fontId="13" fillId="0" borderId="388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right"/>
    </xf>
    <xf numFmtId="0" fontId="23" fillId="0" borderId="421" xfId="0" applyFont="1" applyBorder="1" applyAlignment="1">
      <alignment/>
    </xf>
    <xf numFmtId="0" fontId="0" fillId="0" borderId="438" xfId="0" applyFont="1" applyBorder="1" applyAlignment="1">
      <alignment/>
    </xf>
    <xf numFmtId="0" fontId="23" fillId="0" borderId="438" xfId="0" applyFont="1" applyBorder="1" applyAlignment="1">
      <alignment/>
    </xf>
    <xf numFmtId="0" fontId="0" fillId="0" borderId="439" xfId="0" applyFont="1" applyBorder="1" applyAlignment="1">
      <alignment/>
    </xf>
    <xf numFmtId="0" fontId="0" fillId="0" borderId="388" xfId="0" applyFont="1" applyBorder="1" applyAlignment="1">
      <alignment/>
    </xf>
    <xf numFmtId="3" fontId="23" fillId="0" borderId="418" xfId="0" applyNumberFormat="1" applyFont="1" applyBorder="1" applyAlignment="1">
      <alignment/>
    </xf>
    <xf numFmtId="3" fontId="0" fillId="0" borderId="426" xfId="0" applyNumberFormat="1" applyBorder="1" applyAlignment="1">
      <alignment/>
    </xf>
    <xf numFmtId="3" fontId="23" fillId="0" borderId="426" xfId="0" applyNumberFormat="1" applyFont="1" applyBorder="1" applyAlignment="1">
      <alignment/>
    </xf>
    <xf numFmtId="3" fontId="0" fillId="0" borderId="431" xfId="0" applyNumberFormat="1" applyBorder="1" applyAlignment="1">
      <alignment/>
    </xf>
    <xf numFmtId="3" fontId="23" fillId="0" borderId="207" xfId="0" applyNumberFormat="1" applyFont="1" applyBorder="1" applyAlignment="1">
      <alignment/>
    </xf>
    <xf numFmtId="3" fontId="0" fillId="0" borderId="348" xfId="0" applyNumberFormat="1" applyFont="1" applyBorder="1" applyAlignment="1">
      <alignment/>
    </xf>
    <xf numFmtId="3" fontId="23" fillId="0" borderId="421" xfId="0" applyNumberFormat="1" applyFont="1" applyBorder="1" applyAlignment="1">
      <alignment/>
    </xf>
    <xf numFmtId="3" fontId="0" fillId="0" borderId="438" xfId="0" applyNumberFormat="1" applyBorder="1" applyAlignment="1">
      <alignment/>
    </xf>
    <xf numFmtId="3" fontId="23" fillId="0" borderId="438" xfId="0" applyNumberFormat="1" applyFont="1" applyBorder="1" applyAlignment="1">
      <alignment/>
    </xf>
    <xf numFmtId="3" fontId="0" fillId="0" borderId="439" xfId="0" applyNumberFormat="1" applyBorder="1" applyAlignment="1">
      <alignment/>
    </xf>
    <xf numFmtId="3" fontId="23" fillId="0" borderId="139" xfId="0" applyNumberFormat="1" applyFont="1" applyBorder="1" applyAlignment="1">
      <alignment/>
    </xf>
    <xf numFmtId="3" fontId="0" fillId="0" borderId="388" xfId="0" applyNumberFormat="1" applyFont="1" applyBorder="1" applyAlignment="1">
      <alignment/>
    </xf>
    <xf numFmtId="0" fontId="0" fillId="0" borderId="467" xfId="0" applyFont="1" applyBorder="1" applyAlignment="1">
      <alignment/>
    </xf>
    <xf numFmtId="0" fontId="0" fillId="0" borderId="468" xfId="0" applyFont="1" applyBorder="1" applyAlignment="1">
      <alignment/>
    </xf>
    <xf numFmtId="0" fontId="23" fillId="0" borderId="444" xfId="0" applyFont="1" applyBorder="1" applyAlignment="1">
      <alignment/>
    </xf>
    <xf numFmtId="0" fontId="0" fillId="0" borderId="202" xfId="0" applyFont="1" applyBorder="1" applyAlignment="1">
      <alignment/>
    </xf>
    <xf numFmtId="0" fontId="0" fillId="0" borderId="469" xfId="0" applyFont="1" applyBorder="1" applyAlignment="1">
      <alignment/>
    </xf>
    <xf numFmtId="0" fontId="0" fillId="0" borderId="470" xfId="0" applyFont="1" applyBorder="1" applyAlignment="1">
      <alignment/>
    </xf>
    <xf numFmtId="0" fontId="0" fillId="0" borderId="471" xfId="0" applyFont="1" applyBorder="1" applyAlignment="1">
      <alignment/>
    </xf>
    <xf numFmtId="0" fontId="0" fillId="0" borderId="468" xfId="0" applyFont="1" applyFill="1" applyBorder="1" applyAlignment="1">
      <alignment/>
    </xf>
    <xf numFmtId="3" fontId="0" fillId="0" borderId="472" xfId="0" applyNumberFormat="1" applyFont="1" applyBorder="1" applyAlignment="1">
      <alignment/>
    </xf>
    <xf numFmtId="3" fontId="0" fillId="0" borderId="431" xfId="0" applyNumberFormat="1" applyFont="1" applyBorder="1" applyAlignment="1">
      <alignment/>
    </xf>
    <xf numFmtId="3" fontId="0" fillId="0" borderId="232" xfId="0" applyNumberFormat="1" applyFont="1" applyBorder="1" applyAlignment="1">
      <alignment/>
    </xf>
    <xf numFmtId="3" fontId="0" fillId="0" borderId="418" xfId="0" applyNumberFormat="1" applyFont="1" applyBorder="1" applyAlignment="1">
      <alignment/>
    </xf>
    <xf numFmtId="3" fontId="0" fillId="0" borderId="454" xfId="0" applyNumberFormat="1" applyFont="1" applyBorder="1" applyAlignment="1">
      <alignment/>
    </xf>
    <xf numFmtId="3" fontId="0" fillId="0" borderId="426" xfId="0" applyNumberFormat="1" applyFont="1" applyBorder="1" applyAlignment="1">
      <alignment/>
    </xf>
    <xf numFmtId="3" fontId="0" fillId="0" borderId="473" xfId="0" applyNumberFormat="1" applyFont="1" applyBorder="1" applyAlignment="1">
      <alignment/>
    </xf>
    <xf numFmtId="3" fontId="0" fillId="0" borderId="439" xfId="0" applyNumberFormat="1" applyFont="1" applyBorder="1" applyAlignment="1">
      <alignment/>
    </xf>
    <xf numFmtId="3" fontId="0" fillId="0" borderId="293" xfId="0" applyNumberFormat="1" applyFont="1" applyBorder="1" applyAlignment="1">
      <alignment/>
    </xf>
    <xf numFmtId="3" fontId="0" fillId="0" borderId="421" xfId="0" applyNumberFormat="1" applyFont="1" applyBorder="1" applyAlignment="1">
      <alignment/>
    </xf>
    <xf numFmtId="3" fontId="0" fillId="0" borderId="466" xfId="0" applyNumberFormat="1" applyFont="1" applyBorder="1" applyAlignment="1">
      <alignment/>
    </xf>
    <xf numFmtId="3" fontId="0" fillId="0" borderId="438" xfId="0" applyNumberFormat="1" applyFont="1" applyBorder="1" applyAlignment="1">
      <alignment/>
    </xf>
    <xf numFmtId="0" fontId="23" fillId="4" borderId="444" xfId="0" applyFont="1" applyFill="1" applyBorder="1" applyAlignment="1">
      <alignment/>
    </xf>
    <xf numFmtId="3" fontId="23" fillId="4" borderId="15" xfId="0" applyNumberFormat="1" applyFont="1" applyFill="1" applyBorder="1" applyAlignment="1">
      <alignment/>
    </xf>
    <xf numFmtId="3" fontId="23" fillId="4" borderId="139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3" fontId="23" fillId="4" borderId="13" xfId="0" applyNumberFormat="1" applyFont="1" applyFill="1" applyBorder="1" applyAlignment="1">
      <alignment/>
    </xf>
    <xf numFmtId="3" fontId="23" fillId="4" borderId="207" xfId="0" applyNumberFormat="1" applyFont="1" applyFill="1" applyBorder="1" applyAlignment="1">
      <alignment/>
    </xf>
    <xf numFmtId="3" fontId="23" fillId="4" borderId="150" xfId="0" applyNumberFormat="1" applyFont="1" applyFill="1" applyBorder="1" applyAlignment="1">
      <alignment/>
    </xf>
    <xf numFmtId="0" fontId="23" fillId="4" borderId="474" xfId="0" applyFont="1" applyFill="1" applyBorder="1" applyAlignment="1">
      <alignment/>
    </xf>
    <xf numFmtId="3" fontId="23" fillId="4" borderId="75" xfId="0" applyNumberFormat="1" applyFont="1" applyFill="1" applyBorder="1" applyAlignment="1">
      <alignment/>
    </xf>
    <xf numFmtId="3" fontId="23" fillId="4" borderId="140" xfId="0" applyNumberFormat="1" applyFont="1" applyFill="1" applyBorder="1" applyAlignment="1">
      <alignment/>
    </xf>
    <xf numFmtId="3" fontId="23" fillId="4" borderId="345" xfId="0" applyNumberFormat="1" applyFont="1" applyFill="1" applyBorder="1" applyAlignment="1">
      <alignment/>
    </xf>
    <xf numFmtId="3" fontId="23" fillId="4" borderId="346" xfId="0" applyNumberFormat="1" applyFont="1" applyFill="1" applyBorder="1" applyAlignment="1">
      <alignment/>
    </xf>
    <xf numFmtId="3" fontId="23" fillId="4" borderId="210" xfId="0" applyNumberFormat="1" applyFont="1" applyFill="1" applyBorder="1" applyAlignment="1">
      <alignment/>
    </xf>
    <xf numFmtId="3" fontId="23" fillId="4" borderId="152" xfId="0" applyNumberFormat="1" applyFont="1" applyFill="1" applyBorder="1" applyAlignment="1">
      <alignment/>
    </xf>
    <xf numFmtId="0" fontId="23" fillId="4" borderId="475" xfId="0" applyFont="1" applyFill="1" applyBorder="1" applyAlignment="1">
      <alignment/>
    </xf>
    <xf numFmtId="0" fontId="23" fillId="4" borderId="136" xfId="0" applyFont="1" applyFill="1" applyBorder="1" applyAlignment="1">
      <alignment/>
    </xf>
    <xf numFmtId="3" fontId="23" fillId="4" borderId="147" xfId="0" applyNumberFormat="1" applyFont="1" applyFill="1" applyBorder="1" applyAlignment="1">
      <alignment/>
    </xf>
    <xf numFmtId="3" fontId="23" fillId="4" borderId="136" xfId="0" applyNumberFormat="1" applyFont="1" applyFill="1" applyBorder="1" applyAlignment="1">
      <alignment/>
    </xf>
    <xf numFmtId="3" fontId="23" fillId="4" borderId="146" xfId="0" applyNumberFormat="1" applyFont="1" applyFill="1" applyBorder="1" applyAlignment="1">
      <alignment/>
    </xf>
    <xf numFmtId="3" fontId="23" fillId="4" borderId="93" xfId="0" applyNumberFormat="1" applyFont="1" applyFill="1" applyBorder="1" applyAlignment="1">
      <alignment/>
    </xf>
    <xf numFmtId="3" fontId="23" fillId="4" borderId="124" xfId="0" applyNumberFormat="1" applyFont="1" applyFill="1" applyBorder="1" applyAlignment="1">
      <alignment/>
    </xf>
    <xf numFmtId="3" fontId="23" fillId="4" borderId="148" xfId="0" applyNumberFormat="1" applyFont="1" applyFill="1" applyBorder="1" applyAlignment="1">
      <alignment/>
    </xf>
    <xf numFmtId="0" fontId="23" fillId="4" borderId="55" xfId="0" applyFont="1" applyFill="1" applyBorder="1" applyAlignment="1">
      <alignment/>
    </xf>
    <xf numFmtId="0" fontId="23" fillId="4" borderId="139" xfId="0" applyFont="1" applyFill="1" applyBorder="1" applyAlignment="1">
      <alignment/>
    </xf>
    <xf numFmtId="0" fontId="9" fillId="4" borderId="437" xfId="0" applyFont="1" applyFill="1" applyBorder="1" applyAlignment="1">
      <alignment/>
    </xf>
    <xf numFmtId="0" fontId="10" fillId="4" borderId="273" xfId="0" applyFont="1" applyFill="1" applyBorder="1" applyAlignment="1">
      <alignment/>
    </xf>
    <xf numFmtId="0" fontId="9" fillId="4" borderId="243" xfId="0" applyFont="1" applyFill="1" applyBorder="1" applyAlignment="1">
      <alignment/>
    </xf>
    <xf numFmtId="3" fontId="9" fillId="4" borderId="127" xfId="0" applyNumberFormat="1" applyFont="1" applyFill="1" applyBorder="1" applyAlignment="1">
      <alignment/>
    </xf>
    <xf numFmtId="3" fontId="9" fillId="4" borderId="126" xfId="0" applyNumberFormat="1" applyFont="1" applyFill="1" applyBorder="1" applyAlignment="1">
      <alignment/>
    </xf>
    <xf numFmtId="3" fontId="9" fillId="4" borderId="200" xfId="0" applyNumberFormat="1" applyFont="1" applyFill="1" applyBorder="1" applyAlignment="1">
      <alignment/>
    </xf>
    <xf numFmtId="3" fontId="9" fillId="4" borderId="270" xfId="0" applyNumberFormat="1" applyFont="1" applyFill="1" applyBorder="1" applyAlignment="1">
      <alignment/>
    </xf>
    <xf numFmtId="3" fontId="9" fillId="4" borderId="201" xfId="0" applyNumberFormat="1" applyFont="1" applyFill="1" applyBorder="1" applyAlignment="1">
      <alignment/>
    </xf>
    <xf numFmtId="3" fontId="9" fillId="4" borderId="243" xfId="0" applyNumberFormat="1" applyFont="1" applyFill="1" applyBorder="1" applyAlignment="1">
      <alignment/>
    </xf>
    <xf numFmtId="0" fontId="9" fillId="4" borderId="62" xfId="0" applyFont="1" applyFill="1" applyBorder="1" applyAlignment="1">
      <alignment/>
    </xf>
    <xf numFmtId="0" fontId="7" fillId="4" borderId="138" xfId="0" applyFont="1" applyFill="1" applyBorder="1" applyAlignment="1">
      <alignment/>
    </xf>
    <xf numFmtId="0" fontId="9" fillId="4" borderId="164" xfId="0" applyFont="1" applyFill="1" applyBorder="1" applyAlignment="1">
      <alignment/>
    </xf>
    <xf numFmtId="3" fontId="9" fillId="4" borderId="206" xfId="0" applyNumberFormat="1" applyFont="1" applyFill="1" applyBorder="1" applyAlignment="1">
      <alignment/>
    </xf>
    <xf numFmtId="3" fontId="9" fillId="4" borderId="40" xfId="0" applyNumberFormat="1" applyFont="1" applyFill="1" applyBorder="1" applyAlignment="1">
      <alignment/>
    </xf>
    <xf numFmtId="3" fontId="9" fillId="4" borderId="138" xfId="0" applyNumberFormat="1" applyFont="1" applyFill="1" applyBorder="1" applyAlignment="1">
      <alignment/>
    </xf>
    <xf numFmtId="3" fontId="9" fillId="4" borderId="147" xfId="0" applyNumberFormat="1" applyFont="1" applyFill="1" applyBorder="1" applyAlignment="1">
      <alignment/>
    </xf>
    <xf numFmtId="3" fontId="9" fillId="4" borderId="136" xfId="0" applyNumberFormat="1" applyFont="1" applyFill="1" applyBorder="1" applyAlignment="1">
      <alignment/>
    </xf>
    <xf numFmtId="3" fontId="9" fillId="4" borderId="146" xfId="0" applyNumberFormat="1" applyFont="1" applyFill="1" applyBorder="1" applyAlignment="1">
      <alignment/>
    </xf>
    <xf numFmtId="3" fontId="9" fillId="4" borderId="93" xfId="0" applyNumberFormat="1" applyFont="1" applyFill="1" applyBorder="1" applyAlignment="1">
      <alignment/>
    </xf>
    <xf numFmtId="3" fontId="9" fillId="4" borderId="124" xfId="0" applyNumberFormat="1" applyFont="1" applyFill="1" applyBorder="1" applyAlignment="1">
      <alignment/>
    </xf>
    <xf numFmtId="3" fontId="9" fillId="4" borderId="148" xfId="0" applyNumberFormat="1" applyFont="1" applyFill="1" applyBorder="1" applyAlignment="1">
      <alignment/>
    </xf>
    <xf numFmtId="0" fontId="9" fillId="4" borderId="55" xfId="0" applyFont="1" applyFill="1" applyBorder="1" applyAlignment="1">
      <alignment/>
    </xf>
    <xf numFmtId="0" fontId="7" fillId="4" borderId="139" xfId="0" applyFont="1" applyFill="1" applyBorder="1" applyAlignment="1">
      <alignment/>
    </xf>
    <xf numFmtId="0" fontId="9" fillId="4" borderId="150" xfId="0" applyFont="1" applyFill="1" applyBorder="1" applyAlignment="1">
      <alignment/>
    </xf>
    <xf numFmtId="3" fontId="9" fillId="4" borderId="207" xfId="0" applyNumberFormat="1" applyFont="1" applyFill="1" applyBorder="1" applyAlignment="1">
      <alignment/>
    </xf>
    <xf numFmtId="3" fontId="9" fillId="4" borderId="15" xfId="0" applyNumberFormat="1" applyFont="1" applyFill="1" applyBorder="1" applyAlignment="1">
      <alignment/>
    </xf>
    <xf numFmtId="3" fontId="9" fillId="4" borderId="139" xfId="0" applyNumberFormat="1" applyFont="1" applyFill="1" applyBorder="1" applyAlignment="1">
      <alignment/>
    </xf>
    <xf numFmtId="3" fontId="9" fillId="4" borderId="14" xfId="0" applyNumberFormat="1" applyFont="1" applyFill="1" applyBorder="1" applyAlignment="1">
      <alignment/>
    </xf>
    <xf numFmtId="3" fontId="9" fillId="4" borderId="13" xfId="0" applyNumberFormat="1" applyFont="1" applyFill="1" applyBorder="1" applyAlignment="1">
      <alignment/>
    </xf>
    <xf numFmtId="3" fontId="9" fillId="4" borderId="150" xfId="0" applyNumberFormat="1" applyFont="1" applyFill="1" applyBorder="1" applyAlignment="1">
      <alignment/>
    </xf>
    <xf numFmtId="0" fontId="9" fillId="0" borderId="136" xfId="0" applyNumberFormat="1" applyFont="1" applyFill="1" applyBorder="1" applyAlignment="1">
      <alignment horizontal="center" vertical="center" wrapText="1"/>
    </xf>
    <xf numFmtId="0" fontId="5" fillId="0" borderId="137" xfId="0" applyNumberFormat="1" applyFont="1" applyFill="1" applyBorder="1" applyAlignment="1">
      <alignment horizontal="center" vertical="center"/>
    </xf>
    <xf numFmtId="3" fontId="8" fillId="20" borderId="139" xfId="58" applyNumberFormat="1" applyFont="1" applyFill="1" applyBorder="1" applyAlignment="1">
      <alignment/>
      <protection/>
    </xf>
    <xf numFmtId="3" fontId="9" fillId="4" borderId="138" xfId="58" applyNumberFormat="1" applyFont="1" applyFill="1" applyBorder="1" applyAlignment="1">
      <alignment/>
      <protection/>
    </xf>
    <xf numFmtId="3" fontId="5" fillId="0" borderId="421" xfId="58" applyNumberFormat="1" applyFont="1" applyFill="1" applyBorder="1" applyAlignment="1">
      <alignment/>
      <protection/>
    </xf>
    <xf numFmtId="3" fontId="5" fillId="0" borderId="367" xfId="58" applyNumberFormat="1" applyFont="1" applyFill="1" applyBorder="1" applyAlignment="1">
      <alignment/>
      <protection/>
    </xf>
    <xf numFmtId="3" fontId="5" fillId="0" borderId="128" xfId="56" applyNumberFormat="1" applyFont="1" applyFill="1" applyBorder="1" applyAlignment="1">
      <alignment/>
      <protection/>
    </xf>
    <xf numFmtId="3" fontId="8" fillId="20" borderId="143" xfId="0" applyNumberFormat="1" applyFont="1" applyFill="1" applyBorder="1" applyAlignment="1">
      <alignment horizontal="right"/>
    </xf>
    <xf numFmtId="3" fontId="9" fillId="4" borderId="155" xfId="0" applyNumberFormat="1" applyFont="1" applyFill="1" applyBorder="1" applyAlignment="1">
      <alignment horizontal="right"/>
    </xf>
    <xf numFmtId="3" fontId="5" fillId="22" borderId="460" xfId="56" applyNumberFormat="1" applyFont="1" applyFill="1" applyBorder="1">
      <alignment/>
      <protection/>
    </xf>
    <xf numFmtId="3" fontId="5" fillId="0" borderId="281" xfId="56" applyNumberFormat="1" applyFont="1" applyFill="1" applyBorder="1">
      <alignment/>
      <protection/>
    </xf>
    <xf numFmtId="3" fontId="5" fillId="0" borderId="220" xfId="0" applyNumberFormat="1" applyFont="1" applyFill="1" applyBorder="1" applyAlignment="1">
      <alignment/>
    </xf>
    <xf numFmtId="0" fontId="0" fillId="0" borderId="200" xfId="0" applyBorder="1" applyAlignment="1">
      <alignment/>
    </xf>
    <xf numFmtId="0" fontId="0" fillId="0" borderId="127" xfId="0" applyBorder="1" applyAlignment="1">
      <alignment/>
    </xf>
    <xf numFmtId="3" fontId="5" fillId="0" borderId="285" xfId="56" applyNumberFormat="1" applyFont="1" applyFill="1" applyBorder="1">
      <alignment/>
      <protection/>
    </xf>
    <xf numFmtId="3" fontId="5" fillId="0" borderId="476" xfId="0" applyNumberFormat="1" applyFont="1" applyFill="1" applyBorder="1" applyAlignment="1">
      <alignment horizontal="center" vertical="center" wrapText="1"/>
    </xf>
    <xf numFmtId="3" fontId="8" fillId="20" borderId="477" xfId="0" applyNumberFormat="1" applyFont="1" applyFill="1" applyBorder="1" applyAlignment="1">
      <alignment horizontal="right"/>
    </xf>
    <xf numFmtId="3" fontId="9" fillId="4" borderId="478" xfId="0" applyNumberFormat="1" applyFont="1" applyFill="1" applyBorder="1" applyAlignment="1">
      <alignment horizontal="right"/>
    </xf>
    <xf numFmtId="3" fontId="5" fillId="0" borderId="479" xfId="56" applyNumberFormat="1" applyFont="1" applyFill="1" applyBorder="1">
      <alignment/>
      <protection/>
    </xf>
    <xf numFmtId="3" fontId="5" fillId="0" borderId="480" xfId="56" applyNumberFormat="1" applyFont="1" applyFill="1" applyBorder="1">
      <alignment/>
      <protection/>
    </xf>
    <xf numFmtId="3" fontId="5" fillId="0" borderId="309" xfId="56" applyNumberFormat="1" applyFont="1" applyFill="1" applyBorder="1">
      <alignment/>
      <protection/>
    </xf>
    <xf numFmtId="3" fontId="5" fillId="0" borderId="59" xfId="56" applyNumberFormat="1" applyFont="1" applyFill="1" applyBorder="1">
      <alignment/>
      <protection/>
    </xf>
    <xf numFmtId="3" fontId="5" fillId="0" borderId="310" xfId="0" applyNumberFormat="1" applyFont="1" applyFill="1" applyBorder="1" applyAlignment="1">
      <alignment/>
    </xf>
    <xf numFmtId="3" fontId="8" fillId="20" borderId="163" xfId="0" applyNumberFormat="1" applyFont="1" applyFill="1" applyBorder="1" applyAlignment="1">
      <alignment horizontal="right"/>
    </xf>
    <xf numFmtId="3" fontId="9" fillId="4" borderId="162" xfId="0" applyNumberFormat="1" applyFont="1" applyFill="1" applyBorder="1" applyAlignment="1">
      <alignment horizontal="right"/>
    </xf>
    <xf numFmtId="3" fontId="5" fillId="0" borderId="481" xfId="56" applyNumberFormat="1" applyFont="1" applyFill="1" applyBorder="1">
      <alignment/>
      <protection/>
    </xf>
    <xf numFmtId="3" fontId="5" fillId="0" borderId="482" xfId="56" applyNumberFormat="1" applyFont="1" applyFill="1" applyBorder="1">
      <alignment/>
      <protection/>
    </xf>
    <xf numFmtId="3" fontId="5" fillId="0" borderId="222" xfId="56" applyNumberFormat="1" applyFont="1" applyFill="1" applyBorder="1">
      <alignment/>
      <protection/>
    </xf>
    <xf numFmtId="3" fontId="5" fillId="0" borderId="483" xfId="0" applyNumberFormat="1" applyFont="1" applyFill="1" applyBorder="1" applyAlignment="1">
      <alignment/>
    </xf>
    <xf numFmtId="0" fontId="0" fillId="0" borderId="484" xfId="0" applyBorder="1" applyAlignment="1">
      <alignment/>
    </xf>
    <xf numFmtId="0" fontId="0" fillId="0" borderId="485" xfId="0" applyBorder="1" applyAlignment="1">
      <alignment/>
    </xf>
    <xf numFmtId="3" fontId="5" fillId="0" borderId="486" xfId="0" applyNumberFormat="1" applyFont="1" applyFill="1" applyBorder="1" applyAlignment="1">
      <alignment horizontal="center" vertical="center" wrapText="1"/>
    </xf>
    <xf numFmtId="3" fontId="8" fillId="20" borderId="487" xfId="0" applyNumberFormat="1" applyFont="1" applyFill="1" applyBorder="1" applyAlignment="1">
      <alignment horizontal="right"/>
    </xf>
    <xf numFmtId="3" fontId="8" fillId="20" borderId="245" xfId="0" applyNumberFormat="1" applyFont="1" applyFill="1" applyBorder="1" applyAlignment="1">
      <alignment horizontal="right"/>
    </xf>
    <xf numFmtId="3" fontId="9" fillId="4" borderId="488" xfId="0" applyNumberFormat="1" applyFont="1" applyFill="1" applyBorder="1" applyAlignment="1">
      <alignment horizontal="right"/>
    </xf>
    <xf numFmtId="3" fontId="9" fillId="4" borderId="244" xfId="0" applyNumberFormat="1" applyFont="1" applyFill="1" applyBorder="1" applyAlignment="1">
      <alignment horizontal="right"/>
    </xf>
    <xf numFmtId="3" fontId="5" fillId="0" borderId="489" xfId="56" applyNumberFormat="1" applyFont="1" applyFill="1" applyBorder="1">
      <alignment/>
      <protection/>
    </xf>
    <xf numFmtId="3" fontId="5" fillId="0" borderId="490" xfId="56" applyNumberFormat="1" applyFont="1" applyFill="1" applyBorder="1">
      <alignment/>
      <protection/>
    </xf>
    <xf numFmtId="3" fontId="5" fillId="0" borderId="491" xfId="56" applyNumberFormat="1" applyFont="1" applyFill="1" applyBorder="1">
      <alignment/>
      <protection/>
    </xf>
    <xf numFmtId="3" fontId="5" fillId="0" borderId="492" xfId="56" applyNumberFormat="1" applyFont="1" applyFill="1" applyBorder="1">
      <alignment/>
      <protection/>
    </xf>
    <xf numFmtId="3" fontId="5" fillId="0" borderId="493" xfId="56" applyNumberFormat="1" applyFont="1" applyFill="1" applyBorder="1">
      <alignment/>
      <protection/>
    </xf>
    <xf numFmtId="3" fontId="5" fillId="0" borderId="494" xfId="0" applyNumberFormat="1" applyFont="1" applyFill="1" applyBorder="1" applyAlignment="1">
      <alignment/>
    </xf>
    <xf numFmtId="3" fontId="5" fillId="0" borderId="495" xfId="0" applyNumberFormat="1" applyFont="1" applyFill="1" applyBorder="1" applyAlignment="1">
      <alignment/>
    </xf>
    <xf numFmtId="0" fontId="9" fillId="0" borderId="204" xfId="0" applyNumberFormat="1" applyFont="1" applyFill="1" applyBorder="1" applyAlignment="1">
      <alignment horizontal="center" vertical="center" wrapText="1"/>
    </xf>
    <xf numFmtId="3" fontId="8" fillId="20" borderId="138" xfId="58" applyNumberFormat="1" applyFont="1" applyFill="1" applyBorder="1" applyAlignment="1">
      <alignment horizontal="right"/>
      <protection/>
    </xf>
    <xf numFmtId="3" fontId="9" fillId="4" borderId="138" xfId="58" applyNumberFormat="1" applyFont="1" applyFill="1" applyBorder="1" applyAlignment="1">
      <alignment horizontal="right"/>
      <protection/>
    </xf>
    <xf numFmtId="3" fontId="5" fillId="0" borderId="24" xfId="0" applyNumberFormat="1" applyFont="1" applyFill="1" applyBorder="1" applyAlignment="1">
      <alignment horizontal="right"/>
    </xf>
    <xf numFmtId="3" fontId="5" fillId="0" borderId="293" xfId="56" applyNumberFormat="1" applyFont="1" applyFill="1" applyBorder="1" applyAlignment="1">
      <alignment horizontal="right"/>
      <protection/>
    </xf>
    <xf numFmtId="3" fontId="8" fillId="20" borderId="40" xfId="58" applyNumberFormat="1" applyFont="1" applyFill="1" applyBorder="1" applyAlignment="1">
      <alignment horizontal="right"/>
      <protection/>
    </xf>
    <xf numFmtId="3" fontId="9" fillId="4" borderId="40" xfId="58" applyNumberFormat="1" applyFont="1" applyFill="1" applyBorder="1" applyAlignment="1">
      <alignment horizontal="right"/>
      <protection/>
    </xf>
    <xf numFmtId="3" fontId="5" fillId="8" borderId="23" xfId="0" applyNumberFormat="1" applyFont="1" applyFill="1" applyBorder="1" applyAlignment="1">
      <alignment/>
    </xf>
    <xf numFmtId="3" fontId="5" fillId="8" borderId="269" xfId="0" applyNumberFormat="1" applyFont="1" applyFill="1" applyBorder="1" applyAlignment="1">
      <alignment/>
    </xf>
    <xf numFmtId="3" fontId="5" fillId="0" borderId="269" xfId="0" applyNumberFormat="1" applyFont="1" applyFill="1" applyBorder="1" applyAlignment="1">
      <alignment/>
    </xf>
    <xf numFmtId="49" fontId="17" fillId="0" borderId="496" xfId="0" applyNumberFormat="1" applyFont="1" applyBorder="1" applyAlignment="1">
      <alignment/>
    </xf>
    <xf numFmtId="0" fontId="5" fillId="0" borderId="497" xfId="0" applyFont="1" applyBorder="1" applyAlignment="1">
      <alignment/>
    </xf>
    <xf numFmtId="3" fontId="5" fillId="0" borderId="497" xfId="0" applyNumberFormat="1" applyFont="1" applyBorder="1" applyAlignment="1">
      <alignment horizontal="right"/>
    </xf>
    <xf numFmtId="3" fontId="5" fillId="0" borderId="497" xfId="0" applyNumberFormat="1" applyFont="1" applyBorder="1" applyAlignment="1">
      <alignment/>
    </xf>
    <xf numFmtId="3" fontId="5" fillId="0" borderId="498" xfId="0" applyNumberFormat="1" applyFont="1" applyBorder="1" applyAlignment="1">
      <alignment/>
    </xf>
    <xf numFmtId="3" fontId="8" fillId="20" borderId="478" xfId="58" applyNumberFormat="1" applyFont="1" applyFill="1" applyBorder="1" applyAlignment="1">
      <alignment horizontal="right"/>
      <protection/>
    </xf>
    <xf numFmtId="3" fontId="9" fillId="4" borderId="478" xfId="58" applyNumberFormat="1" applyFont="1" applyFill="1" applyBorder="1" applyAlignment="1">
      <alignment horizontal="right"/>
      <protection/>
    </xf>
    <xf numFmtId="3" fontId="5" fillId="0" borderId="499" xfId="0" applyNumberFormat="1" applyFont="1" applyFill="1" applyBorder="1" applyAlignment="1">
      <alignment/>
    </xf>
    <xf numFmtId="3" fontId="5" fillId="0" borderId="500" xfId="0" applyNumberFormat="1" applyFont="1" applyFill="1" applyBorder="1" applyAlignment="1">
      <alignment/>
    </xf>
    <xf numFmtId="3" fontId="5" fillId="0" borderId="309" xfId="0" applyNumberFormat="1" applyFont="1" applyFill="1" applyBorder="1" applyAlignment="1">
      <alignment/>
    </xf>
    <xf numFmtId="3" fontId="5" fillId="0" borderId="220" xfId="0" applyNumberFormat="1" applyFont="1" applyFill="1" applyBorder="1" applyAlignment="1">
      <alignment horizontal="right"/>
    </xf>
    <xf numFmtId="3" fontId="5" fillId="0" borderId="128" xfId="0" applyNumberFormat="1" applyFont="1" applyFill="1" applyBorder="1" applyAlignment="1">
      <alignment horizontal="right"/>
    </xf>
    <xf numFmtId="3" fontId="5" fillId="22" borderId="130" xfId="0" applyNumberFormat="1" applyFont="1" applyFill="1" applyBorder="1" applyAlignment="1">
      <alignment/>
    </xf>
    <xf numFmtId="3" fontId="8" fillId="20" borderId="361" xfId="58" applyNumberFormat="1" applyFont="1" applyFill="1" applyBorder="1" applyAlignment="1">
      <alignment horizontal="right"/>
      <protection/>
    </xf>
    <xf numFmtId="3" fontId="9" fillId="4" borderId="361" xfId="58" applyNumberFormat="1" applyFont="1" applyFill="1" applyBorder="1" applyAlignment="1">
      <alignment horizontal="right"/>
      <protection/>
    </xf>
    <xf numFmtId="3" fontId="5" fillId="0" borderId="368" xfId="0" applyNumberFormat="1" applyFont="1" applyFill="1" applyBorder="1" applyAlignment="1">
      <alignment/>
    </xf>
    <xf numFmtId="3" fontId="9" fillId="4" borderId="162" xfId="58" applyNumberFormat="1" applyFont="1" applyFill="1" applyBorder="1" applyAlignment="1">
      <alignment horizontal="right"/>
      <protection/>
    </xf>
    <xf numFmtId="3" fontId="5" fillId="0" borderId="224" xfId="0" applyNumberFormat="1" applyFont="1" applyFill="1" applyBorder="1" applyAlignment="1">
      <alignment/>
    </xf>
    <xf numFmtId="3" fontId="5" fillId="0" borderId="223" xfId="0" applyNumberFormat="1" applyFont="1" applyFill="1" applyBorder="1" applyAlignment="1">
      <alignment/>
    </xf>
    <xf numFmtId="3" fontId="5" fillId="0" borderId="222" xfId="0" applyNumberFormat="1" applyFont="1" applyFill="1" applyBorder="1" applyAlignment="1">
      <alignment/>
    </xf>
    <xf numFmtId="3" fontId="5" fillId="0" borderId="484" xfId="0" applyNumberFormat="1" applyFont="1" applyBorder="1" applyAlignment="1">
      <alignment/>
    </xf>
    <xf numFmtId="3" fontId="5" fillId="0" borderId="485" xfId="0" applyNumberFormat="1" applyFont="1" applyBorder="1" applyAlignment="1">
      <alignment/>
    </xf>
    <xf numFmtId="3" fontId="8" fillId="20" borderId="488" xfId="58" applyNumberFormat="1" applyFont="1" applyFill="1" applyBorder="1" applyAlignment="1">
      <alignment horizontal="right"/>
      <protection/>
    </xf>
    <xf numFmtId="3" fontId="8" fillId="20" borderId="244" xfId="58" applyNumberFormat="1" applyFont="1" applyFill="1" applyBorder="1" applyAlignment="1">
      <alignment horizontal="right"/>
      <protection/>
    </xf>
    <xf numFmtId="3" fontId="9" fillId="4" borderId="488" xfId="58" applyNumberFormat="1" applyFont="1" applyFill="1" applyBorder="1" applyAlignment="1">
      <alignment horizontal="right"/>
      <protection/>
    </xf>
    <xf numFmtId="3" fontId="9" fillId="4" borderId="244" xfId="58" applyNumberFormat="1" applyFont="1" applyFill="1" applyBorder="1" applyAlignment="1">
      <alignment horizontal="right"/>
      <protection/>
    </xf>
    <xf numFmtId="3" fontId="5" fillId="0" borderId="501" xfId="0" applyNumberFormat="1" applyFont="1" applyFill="1" applyBorder="1" applyAlignment="1">
      <alignment/>
    </xf>
    <xf numFmtId="3" fontId="5" fillId="0" borderId="247" xfId="0" applyNumberFormat="1" applyFont="1" applyFill="1" applyBorder="1" applyAlignment="1">
      <alignment/>
    </xf>
    <xf numFmtId="3" fontId="5" fillId="0" borderId="502" xfId="0" applyNumberFormat="1" applyFont="1" applyFill="1" applyBorder="1" applyAlignment="1">
      <alignment/>
    </xf>
    <xf numFmtId="3" fontId="5" fillId="0" borderId="503" xfId="0" applyNumberFormat="1" applyFont="1" applyFill="1" applyBorder="1" applyAlignment="1">
      <alignment/>
    </xf>
    <xf numFmtId="3" fontId="5" fillId="0" borderId="493" xfId="0" applyNumberFormat="1" applyFont="1" applyFill="1" applyBorder="1" applyAlignment="1">
      <alignment/>
    </xf>
    <xf numFmtId="3" fontId="5" fillId="0" borderId="248" xfId="0" applyNumberFormat="1" applyFont="1" applyFill="1" applyBorder="1" applyAlignment="1">
      <alignment/>
    </xf>
    <xf numFmtId="3" fontId="5" fillId="0" borderId="137" xfId="0" applyNumberFormat="1" applyFont="1" applyFill="1" applyBorder="1" applyAlignment="1">
      <alignment horizontal="center" vertical="center"/>
    </xf>
    <xf numFmtId="3" fontId="5" fillId="0" borderId="19" xfId="56" applyNumberFormat="1" applyFont="1" applyFill="1" applyBorder="1" applyAlignment="1">
      <alignment horizontal="right"/>
      <protection/>
    </xf>
    <xf numFmtId="3" fontId="6" fillId="0" borderId="19" xfId="56" applyNumberFormat="1" applyFont="1" applyFill="1" applyBorder="1" applyAlignment="1">
      <alignment horizontal="right"/>
      <protection/>
    </xf>
    <xf numFmtId="3" fontId="6" fillId="0" borderId="19" xfId="0" applyNumberFormat="1" applyFont="1" applyFill="1" applyBorder="1" applyAlignment="1">
      <alignment horizontal="right"/>
    </xf>
    <xf numFmtId="3" fontId="5" fillId="0" borderId="352" xfId="56" applyNumberFormat="1" applyFont="1" applyFill="1" applyBorder="1" applyAlignment="1">
      <alignment horizontal="right"/>
      <protection/>
    </xf>
    <xf numFmtId="3" fontId="9" fillId="0" borderId="352" xfId="0" applyNumberFormat="1" applyFont="1" applyFill="1" applyBorder="1" applyAlignment="1">
      <alignment/>
    </xf>
    <xf numFmtId="3" fontId="6" fillId="0" borderId="138" xfId="56" applyNumberFormat="1" applyFont="1" applyFill="1" applyBorder="1" applyAlignment="1">
      <alignment horizontal="right"/>
      <protection/>
    </xf>
    <xf numFmtId="3" fontId="9" fillId="0" borderId="24" xfId="58" applyNumberFormat="1" applyFont="1" applyFill="1" applyBorder="1" applyAlignment="1">
      <alignment horizontal="right"/>
      <protection/>
    </xf>
    <xf numFmtId="3" fontId="9" fillId="0" borderId="19" xfId="56" applyNumberFormat="1" applyFont="1" applyFill="1" applyBorder="1" applyAlignment="1">
      <alignment horizontal="right"/>
      <protection/>
    </xf>
    <xf numFmtId="3" fontId="6" fillId="0" borderId="388" xfId="56" applyNumberFormat="1" applyFont="1" applyFill="1" applyBorder="1" applyAlignment="1">
      <alignment horizontal="right"/>
      <protection/>
    </xf>
    <xf numFmtId="3" fontId="9" fillId="0" borderId="359" xfId="0" applyNumberFormat="1" applyFont="1" applyFill="1" applyBorder="1" applyAlignment="1">
      <alignment horizontal="center" vertical="center" wrapText="1"/>
    </xf>
    <xf numFmtId="3" fontId="5" fillId="0" borderId="360" xfId="0" applyNumberFormat="1" applyFont="1" applyFill="1" applyBorder="1" applyAlignment="1">
      <alignment horizontal="center" vertical="center"/>
    </xf>
    <xf numFmtId="3" fontId="6" fillId="0" borderId="164" xfId="0" applyNumberFormat="1" applyFont="1" applyFill="1" applyBorder="1" applyAlignment="1">
      <alignment/>
    </xf>
    <xf numFmtId="0" fontId="5" fillId="0" borderId="504" xfId="0" applyFont="1" applyFill="1" applyBorder="1" applyAlignment="1">
      <alignment/>
    </xf>
    <xf numFmtId="3" fontId="5" fillId="0" borderId="505" xfId="0" applyNumberFormat="1" applyFont="1" applyFill="1" applyBorder="1" applyAlignment="1">
      <alignment horizontal="center" vertical="center" wrapText="1"/>
    </xf>
    <xf numFmtId="3" fontId="30" fillId="0" borderId="506" xfId="0" applyNumberFormat="1" applyFont="1" applyFill="1" applyBorder="1" applyAlignment="1">
      <alignment horizontal="right"/>
    </xf>
    <xf numFmtId="3" fontId="30" fillId="0" borderId="478" xfId="0" applyNumberFormat="1" applyFont="1" applyFill="1" applyBorder="1" applyAlignment="1">
      <alignment horizontal="right"/>
    </xf>
    <xf numFmtId="3" fontId="31" fillId="0" borderId="507" xfId="0" applyNumberFormat="1" applyFont="1" applyFill="1" applyBorder="1" applyAlignment="1">
      <alignment horizontal="right"/>
    </xf>
    <xf numFmtId="3" fontId="31" fillId="0" borderId="477" xfId="0" applyNumberFormat="1" applyFont="1" applyFill="1" applyBorder="1" applyAlignment="1">
      <alignment horizontal="right"/>
    </xf>
    <xf numFmtId="3" fontId="31" fillId="0" borderId="508" xfId="0" applyNumberFormat="1" applyFont="1" applyFill="1" applyBorder="1" applyAlignment="1">
      <alignment horizontal="right"/>
    </xf>
    <xf numFmtId="3" fontId="31" fillId="0" borderId="509" xfId="0" applyNumberFormat="1" applyFont="1" applyFill="1" applyBorder="1" applyAlignment="1">
      <alignment horizontal="right"/>
    </xf>
    <xf numFmtId="3" fontId="6" fillId="0" borderId="398" xfId="0" applyNumberFormat="1" applyFont="1" applyFill="1" applyBorder="1" applyAlignment="1">
      <alignment/>
    </xf>
    <xf numFmtId="3" fontId="6" fillId="0" borderId="128" xfId="0" applyNumberFormat="1" applyFont="1" applyFill="1" applyBorder="1" applyAlignment="1">
      <alignment/>
    </xf>
    <xf numFmtId="3" fontId="6" fillId="0" borderId="206" xfId="0" applyNumberFormat="1" applyFont="1" applyFill="1" applyBorder="1" applyAlignment="1">
      <alignment/>
    </xf>
    <xf numFmtId="3" fontId="6" fillId="0" borderId="348" xfId="0" applyNumberFormat="1" applyFont="1" applyFill="1" applyBorder="1" applyAlignment="1">
      <alignment/>
    </xf>
    <xf numFmtId="3" fontId="5" fillId="0" borderId="510" xfId="0" applyNumberFormat="1" applyFont="1" applyFill="1" applyBorder="1" applyAlignment="1">
      <alignment horizontal="center" vertical="center" wrapText="1"/>
    </xf>
    <xf numFmtId="3" fontId="28" fillId="0" borderId="511" xfId="58" applyNumberFormat="1" applyFont="1" applyFill="1" applyBorder="1" applyAlignment="1">
      <alignment horizontal="right"/>
      <protection/>
    </xf>
    <xf numFmtId="3" fontId="28" fillId="0" borderId="392" xfId="58" applyNumberFormat="1" applyFont="1" applyFill="1" applyBorder="1" applyAlignment="1">
      <alignment horizontal="right"/>
      <protection/>
    </xf>
    <xf numFmtId="3" fontId="5" fillId="0" borderId="512" xfId="58" applyNumberFormat="1" applyFont="1" applyFill="1" applyBorder="1" applyAlignment="1">
      <alignment horizontal="right"/>
      <protection/>
    </xf>
    <xf numFmtId="3" fontId="5" fillId="0" borderId="391" xfId="58" applyNumberFormat="1" applyFont="1" applyFill="1" applyBorder="1" applyAlignment="1">
      <alignment horizontal="right"/>
      <protection/>
    </xf>
    <xf numFmtId="3" fontId="6" fillId="0" borderId="512" xfId="58" applyNumberFormat="1" applyFont="1" applyFill="1" applyBorder="1" applyAlignment="1">
      <alignment horizontal="right"/>
      <protection/>
    </xf>
    <xf numFmtId="3" fontId="6" fillId="0" borderId="391" xfId="58" applyNumberFormat="1" applyFont="1" applyFill="1" applyBorder="1" applyAlignment="1">
      <alignment horizontal="right"/>
      <protection/>
    </xf>
    <xf numFmtId="3" fontId="12" fillId="0" borderId="513" xfId="58" applyNumberFormat="1" applyFont="1" applyFill="1" applyBorder="1" applyAlignment="1">
      <alignment horizontal="right"/>
      <protection/>
    </xf>
    <xf numFmtId="3" fontId="12" fillId="0" borderId="393" xfId="58" applyNumberFormat="1" applyFont="1" applyFill="1" applyBorder="1" applyAlignment="1">
      <alignment horizontal="right"/>
      <protection/>
    </xf>
    <xf numFmtId="3" fontId="6" fillId="0" borderId="255" xfId="58" applyNumberFormat="1" applyFont="1" applyFill="1" applyBorder="1" applyAlignment="1">
      <alignment horizontal="right"/>
      <protection/>
    </xf>
    <xf numFmtId="3" fontId="6" fillId="0" borderId="389" xfId="58" applyNumberFormat="1" applyFont="1" applyFill="1" applyBorder="1" applyAlignment="1">
      <alignment horizontal="right"/>
      <protection/>
    </xf>
    <xf numFmtId="3" fontId="9" fillId="0" borderId="514" xfId="0" applyNumberFormat="1" applyFont="1" applyFill="1" applyBorder="1" applyAlignment="1">
      <alignment/>
    </xf>
    <xf numFmtId="3" fontId="9" fillId="0" borderId="88" xfId="0" applyNumberFormat="1" applyFont="1" applyFill="1" applyBorder="1" applyAlignment="1">
      <alignment/>
    </xf>
    <xf numFmtId="3" fontId="5" fillId="0" borderId="514" xfId="0" applyNumberFormat="1" applyFont="1" applyFill="1" applyBorder="1" applyAlignment="1">
      <alignment/>
    </xf>
    <xf numFmtId="3" fontId="6" fillId="0" borderId="514" xfId="0" applyNumberFormat="1" applyFont="1" applyFill="1" applyBorder="1" applyAlignment="1">
      <alignment/>
    </xf>
    <xf numFmtId="3" fontId="6" fillId="0" borderId="88" xfId="0" applyNumberFormat="1" applyFont="1" applyFill="1" applyBorder="1" applyAlignment="1">
      <alignment/>
    </xf>
    <xf numFmtId="3" fontId="9" fillId="0" borderId="514" xfId="0" applyNumberFormat="1" applyFont="1" applyFill="1" applyBorder="1" applyAlignment="1">
      <alignment horizontal="right"/>
    </xf>
    <xf numFmtId="3" fontId="9" fillId="0" borderId="88" xfId="0" applyNumberFormat="1" applyFont="1" applyFill="1" applyBorder="1" applyAlignment="1">
      <alignment horizontal="right"/>
    </xf>
    <xf numFmtId="3" fontId="5" fillId="0" borderId="515" xfId="0" applyNumberFormat="1" applyFont="1" applyFill="1" applyBorder="1" applyAlignment="1">
      <alignment/>
    </xf>
    <xf numFmtId="3" fontId="9" fillId="0" borderId="515" xfId="0" applyNumberFormat="1" applyFont="1" applyFill="1" applyBorder="1" applyAlignment="1">
      <alignment/>
    </xf>
    <xf numFmtId="3" fontId="9" fillId="0" borderId="347" xfId="0" applyNumberFormat="1" applyFont="1" applyFill="1" applyBorder="1" applyAlignment="1">
      <alignment/>
    </xf>
    <xf numFmtId="3" fontId="6" fillId="0" borderId="255" xfId="0" applyNumberFormat="1" applyFont="1" applyFill="1" applyBorder="1" applyAlignment="1">
      <alignment/>
    </xf>
    <xf numFmtId="3" fontId="6" fillId="0" borderId="396" xfId="0" applyNumberFormat="1" applyFont="1" applyFill="1" applyBorder="1" applyAlignment="1">
      <alignment/>
    </xf>
    <xf numFmtId="3" fontId="9" fillId="0" borderId="516" xfId="58" applyNumberFormat="1" applyFont="1" applyFill="1" applyBorder="1" applyAlignment="1">
      <alignment horizontal="right"/>
      <protection/>
    </xf>
    <xf numFmtId="3" fontId="9" fillId="0" borderId="92" xfId="58" applyNumberFormat="1" applyFont="1" applyFill="1" applyBorder="1" applyAlignment="1">
      <alignment horizontal="right"/>
      <protection/>
    </xf>
    <xf numFmtId="3" fontId="9" fillId="0" borderId="514" xfId="56" applyNumberFormat="1" applyFont="1" applyFill="1" applyBorder="1" applyAlignment="1">
      <alignment horizontal="right"/>
      <protection/>
    </xf>
    <xf numFmtId="3" fontId="9" fillId="0" borderId="88" xfId="56" applyNumberFormat="1" applyFont="1" applyFill="1" applyBorder="1" applyAlignment="1">
      <alignment horizontal="right"/>
      <protection/>
    </xf>
    <xf numFmtId="3" fontId="6" fillId="0" borderId="517" xfId="0" applyNumberFormat="1" applyFont="1" applyFill="1" applyBorder="1" applyAlignment="1">
      <alignment/>
    </xf>
    <xf numFmtId="3" fontId="6" fillId="0" borderId="129" xfId="0" applyNumberFormat="1" applyFont="1" applyFill="1" applyBorder="1" applyAlignment="1">
      <alignment/>
    </xf>
    <xf numFmtId="0" fontId="5" fillId="0" borderId="518" xfId="0" applyFont="1" applyFill="1" applyBorder="1" applyAlignment="1">
      <alignment/>
    </xf>
    <xf numFmtId="0" fontId="5" fillId="0" borderId="519" xfId="0" applyFont="1" applyFill="1" applyBorder="1" applyAlignment="1">
      <alignment/>
    </xf>
    <xf numFmtId="3" fontId="6" fillId="0" borderId="71" xfId="0" applyNumberFormat="1" applyFont="1" applyFill="1" applyBorder="1" applyAlignment="1">
      <alignment/>
    </xf>
    <xf numFmtId="3" fontId="8" fillId="20" borderId="138" xfId="58" applyNumberFormat="1" applyFont="1" applyFill="1" applyBorder="1" applyAlignment="1">
      <alignment/>
      <protection/>
    </xf>
    <xf numFmtId="3" fontId="9" fillId="4" borderId="139" xfId="58" applyNumberFormat="1" applyFont="1" applyFill="1" applyBorder="1" applyAlignment="1">
      <alignment/>
      <protection/>
    </xf>
    <xf numFmtId="3" fontId="5" fillId="0" borderId="24" xfId="56" applyNumberFormat="1" applyFont="1" applyFill="1" applyBorder="1" applyAlignment="1">
      <alignment wrapText="1"/>
      <protection/>
    </xf>
    <xf numFmtId="3" fontId="5" fillId="0" borderId="96" xfId="56" applyNumberFormat="1" applyFont="1" applyFill="1" applyBorder="1" applyAlignment="1">
      <alignment wrapText="1"/>
      <protection/>
    </xf>
    <xf numFmtId="3" fontId="5" fillId="0" borderId="19" xfId="56" applyNumberFormat="1" applyFont="1" applyFill="1" applyBorder="1" applyAlignment="1">
      <alignment wrapText="1"/>
      <protection/>
    </xf>
    <xf numFmtId="3" fontId="5" fillId="0" borderId="352" xfId="56" applyNumberFormat="1" applyFont="1" applyFill="1" applyBorder="1" applyAlignment="1">
      <alignment/>
      <protection/>
    </xf>
    <xf numFmtId="3" fontId="5" fillId="0" borderId="47" xfId="56" applyNumberFormat="1" applyFont="1" applyFill="1" applyBorder="1" applyAlignment="1">
      <alignment/>
      <protection/>
    </xf>
    <xf numFmtId="3" fontId="6" fillId="0" borderId="128" xfId="56" applyNumberFormat="1" applyFont="1" applyFill="1" applyBorder="1" applyAlignment="1">
      <alignment horizontal="right"/>
      <protection/>
    </xf>
    <xf numFmtId="3" fontId="9" fillId="4" borderId="55" xfId="58" applyNumberFormat="1" applyFont="1" applyFill="1" applyBorder="1" applyAlignment="1">
      <alignment/>
      <protection/>
    </xf>
    <xf numFmtId="3" fontId="5" fillId="0" borderId="67" xfId="0" applyNumberFormat="1" applyFont="1" applyFill="1" applyBorder="1" applyAlignment="1">
      <alignment/>
    </xf>
    <xf numFmtId="3" fontId="5" fillId="0" borderId="65" xfId="56" applyNumberFormat="1" applyFont="1" applyFill="1" applyBorder="1">
      <alignment/>
      <protection/>
    </xf>
    <xf numFmtId="3" fontId="5" fillId="8" borderId="65" xfId="0" applyNumberFormat="1" applyFont="1" applyFill="1" applyBorder="1" applyAlignment="1">
      <alignment/>
    </xf>
    <xf numFmtId="3" fontId="5" fillId="8" borderId="57" xfId="0" applyNumberFormat="1" applyFont="1" applyFill="1" applyBorder="1" applyAlignment="1">
      <alignment/>
    </xf>
    <xf numFmtId="3" fontId="5" fillId="0" borderId="71" xfId="0" applyNumberFormat="1" applyFont="1" applyFill="1" applyBorder="1" applyAlignment="1">
      <alignment/>
    </xf>
    <xf numFmtId="3" fontId="5" fillId="0" borderId="74" xfId="0" applyNumberFormat="1" applyFont="1" applyFill="1" applyBorder="1" applyAlignment="1">
      <alignment horizontal="center" vertical="center" wrapText="1"/>
    </xf>
    <xf numFmtId="3" fontId="28" fillId="0" borderId="58" xfId="58" applyNumberFormat="1" applyFont="1" applyFill="1" applyBorder="1" applyAlignment="1">
      <alignment horizontal="right"/>
      <protection/>
    </xf>
    <xf numFmtId="3" fontId="28" fillId="0" borderId="266" xfId="58" applyNumberFormat="1" applyFont="1" applyFill="1" applyBorder="1" applyAlignment="1">
      <alignment horizontal="right"/>
      <protection/>
    </xf>
    <xf numFmtId="3" fontId="5" fillId="0" borderId="370" xfId="0" applyNumberFormat="1" applyFont="1" applyFill="1" applyBorder="1" applyAlignment="1">
      <alignment/>
    </xf>
    <xf numFmtId="3" fontId="6" fillId="0" borderId="220" xfId="0" applyNumberFormat="1" applyFont="1" applyFill="1" applyBorder="1" applyAlignment="1">
      <alignment/>
    </xf>
    <xf numFmtId="3" fontId="8" fillId="20" borderId="162" xfId="0" applyNumberFormat="1" applyFont="1" applyFill="1" applyBorder="1" applyAlignment="1">
      <alignment horizontal="right"/>
    </xf>
    <xf numFmtId="3" fontId="9" fillId="4" borderId="163" xfId="58" applyNumberFormat="1" applyFont="1" applyFill="1" applyBorder="1" applyAlignment="1">
      <alignment/>
      <protection/>
    </xf>
    <xf numFmtId="3" fontId="5" fillId="0" borderId="221" xfId="0" applyNumberFormat="1" applyFont="1" applyFill="1" applyBorder="1" applyAlignment="1">
      <alignment/>
    </xf>
    <xf numFmtId="3" fontId="9" fillId="4" borderId="163" xfId="0" applyNumberFormat="1" applyFont="1" applyFill="1" applyBorder="1" applyAlignment="1">
      <alignment horizontal="right"/>
    </xf>
    <xf numFmtId="3" fontId="5" fillId="24" borderId="222" xfId="0" applyNumberFormat="1" applyFont="1" applyFill="1" applyBorder="1" applyAlignment="1">
      <alignment/>
    </xf>
    <xf numFmtId="3" fontId="5" fillId="0" borderId="520" xfId="0" applyNumberFormat="1" applyFont="1" applyFill="1" applyBorder="1" applyAlignment="1">
      <alignment/>
    </xf>
    <xf numFmtId="3" fontId="5" fillId="0" borderId="225" xfId="0" applyNumberFormat="1" applyFont="1" applyFill="1" applyBorder="1" applyAlignment="1">
      <alignment/>
    </xf>
    <xf numFmtId="3" fontId="31" fillId="0" borderId="167" xfId="0" applyNumberFormat="1" applyFont="1" applyFill="1" applyBorder="1" applyAlignment="1">
      <alignment horizontal="right"/>
    </xf>
    <xf numFmtId="3" fontId="31" fillId="0" borderId="179" xfId="0" applyNumberFormat="1" applyFont="1" applyFill="1" applyBorder="1" applyAlignment="1">
      <alignment horizontal="right"/>
    </xf>
    <xf numFmtId="3" fontId="30" fillId="0" borderId="488" xfId="0" applyNumberFormat="1" applyFont="1" applyFill="1" applyBorder="1" applyAlignment="1">
      <alignment horizontal="right"/>
    </xf>
    <xf numFmtId="3" fontId="30" fillId="0" borderId="244" xfId="0" applyNumberFormat="1" applyFont="1" applyFill="1" applyBorder="1" applyAlignment="1">
      <alignment horizontal="right"/>
    </xf>
    <xf numFmtId="3" fontId="31" fillId="0" borderId="521" xfId="0" applyNumberFormat="1" applyFont="1" applyFill="1" applyBorder="1" applyAlignment="1">
      <alignment horizontal="right"/>
    </xf>
    <xf numFmtId="3" fontId="31" fillId="0" borderId="522" xfId="0" applyNumberFormat="1" applyFont="1" applyFill="1" applyBorder="1" applyAlignment="1">
      <alignment horizontal="right"/>
    </xf>
    <xf numFmtId="0" fontId="5" fillId="0" borderId="484" xfId="0" applyFont="1" applyFill="1" applyBorder="1" applyAlignment="1">
      <alignment/>
    </xf>
    <xf numFmtId="0" fontId="5" fillId="0" borderId="485" xfId="0" applyFont="1" applyFill="1" applyBorder="1" applyAlignment="1">
      <alignment/>
    </xf>
    <xf numFmtId="3" fontId="8" fillId="20" borderId="488" xfId="0" applyNumberFormat="1" applyFont="1" applyFill="1" applyBorder="1" applyAlignment="1">
      <alignment horizontal="right"/>
    </xf>
    <xf numFmtId="3" fontId="9" fillId="4" borderId="487" xfId="58" applyNumberFormat="1" applyFont="1" applyFill="1" applyBorder="1" applyAlignment="1">
      <alignment/>
      <protection/>
    </xf>
    <xf numFmtId="3" fontId="9" fillId="4" borderId="245" xfId="58" applyNumberFormat="1" applyFont="1" applyFill="1" applyBorder="1" applyAlignment="1">
      <alignment/>
      <protection/>
    </xf>
    <xf numFmtId="3" fontId="5" fillId="0" borderId="523" xfId="0" applyNumberFormat="1" applyFont="1" applyFill="1" applyBorder="1" applyAlignment="1">
      <alignment/>
    </xf>
    <xf numFmtId="3" fontId="5" fillId="0" borderId="524" xfId="0" applyNumberFormat="1" applyFont="1" applyFill="1" applyBorder="1" applyAlignment="1">
      <alignment/>
    </xf>
    <xf numFmtId="3" fontId="9" fillId="4" borderId="487" xfId="0" applyNumberFormat="1" applyFont="1" applyFill="1" applyBorder="1" applyAlignment="1">
      <alignment horizontal="right"/>
    </xf>
    <xf numFmtId="3" fontId="5" fillId="24" borderId="493" xfId="0" applyNumberFormat="1" applyFont="1" applyFill="1" applyBorder="1" applyAlignment="1">
      <alignment/>
    </xf>
    <xf numFmtId="3" fontId="5" fillId="24" borderId="248" xfId="0" applyNumberFormat="1" applyFont="1" applyFill="1" applyBorder="1" applyAlignment="1">
      <alignment/>
    </xf>
    <xf numFmtId="3" fontId="5" fillId="0" borderId="525" xfId="0" applyNumberFormat="1" applyFont="1" applyFill="1" applyBorder="1" applyAlignment="1">
      <alignment/>
    </xf>
    <xf numFmtId="3" fontId="5" fillId="0" borderId="526" xfId="0" applyNumberFormat="1" applyFont="1" applyFill="1" applyBorder="1" applyAlignment="1">
      <alignment/>
    </xf>
    <xf numFmtId="3" fontId="5" fillId="0" borderId="139" xfId="62" applyNumberFormat="1" applyFont="1" applyFill="1" applyBorder="1" applyAlignment="1">
      <alignment/>
      <protection/>
    </xf>
    <xf numFmtId="3" fontId="5" fillId="0" borderId="139" xfId="58" applyNumberFormat="1" applyFont="1" applyFill="1" applyBorder="1" applyAlignment="1">
      <alignment/>
      <protection/>
    </xf>
    <xf numFmtId="3" fontId="5" fillId="0" borderId="210" xfId="58" applyNumberFormat="1" applyFont="1" applyFill="1" applyBorder="1" applyAlignment="1">
      <alignment/>
      <protection/>
    </xf>
    <xf numFmtId="0" fontId="5" fillId="0" borderId="484" xfId="0" applyFont="1" applyBorder="1" applyAlignment="1">
      <alignment/>
    </xf>
    <xf numFmtId="0" fontId="5" fillId="0" borderId="485" xfId="0" applyFont="1" applyBorder="1" applyAlignment="1">
      <alignment/>
    </xf>
    <xf numFmtId="3" fontId="5" fillId="0" borderId="19" xfId="57" applyNumberFormat="1" applyFont="1" applyFill="1" applyBorder="1" applyAlignment="1">
      <alignment horizontal="right"/>
      <protection/>
    </xf>
    <xf numFmtId="3" fontId="5" fillId="0" borderId="63" xfId="61" applyNumberFormat="1" applyFont="1" applyFill="1" applyBorder="1" applyAlignment="1">
      <alignment horizontal="right"/>
      <protection/>
    </xf>
    <xf numFmtId="3" fontId="5" fillId="0" borderId="65" xfId="56" applyNumberFormat="1" applyFont="1" applyFill="1" applyBorder="1" applyAlignment="1">
      <alignment/>
      <protection/>
    </xf>
    <xf numFmtId="3" fontId="5" fillId="0" borderId="65" xfId="58" applyNumberFormat="1" applyFont="1" applyFill="1" applyBorder="1" applyAlignment="1">
      <alignment horizontal="right"/>
      <protection/>
    </xf>
    <xf numFmtId="3" fontId="5" fillId="0" borderId="65" xfId="61" applyNumberFormat="1" applyFont="1" applyFill="1" applyBorder="1" applyAlignment="1">
      <alignment horizontal="right"/>
      <protection/>
    </xf>
    <xf numFmtId="3" fontId="5" fillId="0" borderId="71" xfId="0" applyNumberFormat="1" applyFont="1" applyFill="1" applyBorder="1" applyAlignment="1">
      <alignment/>
    </xf>
    <xf numFmtId="3" fontId="5" fillId="0" borderId="219" xfId="56" applyNumberFormat="1" applyFont="1" applyFill="1" applyBorder="1">
      <alignment/>
      <protection/>
    </xf>
    <xf numFmtId="3" fontId="5" fillId="0" borderId="220" xfId="0" applyNumberFormat="1" applyFont="1" applyFill="1" applyBorder="1" applyAlignment="1">
      <alignment/>
    </xf>
    <xf numFmtId="3" fontId="9" fillId="0" borderId="209" xfId="0" applyNumberFormat="1" applyFont="1" applyFill="1" applyBorder="1" applyAlignment="1">
      <alignment/>
    </xf>
    <xf numFmtId="3" fontId="31" fillId="0" borderId="487" xfId="0" applyNumberFormat="1" applyFont="1" applyFill="1" applyBorder="1" applyAlignment="1">
      <alignment horizontal="right"/>
    </xf>
    <xf numFmtId="3" fontId="31" fillId="0" borderId="245" xfId="0" applyNumberFormat="1" applyFont="1" applyFill="1" applyBorder="1" applyAlignment="1">
      <alignment horizontal="right"/>
    </xf>
    <xf numFmtId="3" fontId="5" fillId="0" borderId="24" xfId="56" applyNumberFormat="1" applyFont="1" applyFill="1" applyBorder="1">
      <alignment/>
      <protection/>
    </xf>
    <xf numFmtId="3" fontId="5" fillId="0" borderId="96" xfId="56" applyNumberFormat="1" applyFont="1" applyFill="1" applyBorder="1" applyAlignment="1">
      <alignment horizontal="right" vertical="center"/>
      <protection/>
    </xf>
    <xf numFmtId="3" fontId="5" fillId="0" borderId="527" xfId="56" applyNumberFormat="1" applyFont="1" applyFill="1" applyBorder="1" applyAlignment="1">
      <alignment horizontal="right"/>
      <protection/>
    </xf>
    <xf numFmtId="3" fontId="5" fillId="0" borderId="528" xfId="56" applyNumberFormat="1" applyFont="1" applyFill="1" applyBorder="1" applyAlignment="1">
      <alignment horizontal="right"/>
      <protection/>
    </xf>
    <xf numFmtId="3" fontId="5" fillId="22" borderId="135" xfId="61" applyNumberFormat="1" applyFont="1" applyFill="1" applyBorder="1" applyAlignment="1">
      <alignment/>
      <protection/>
    </xf>
    <xf numFmtId="3" fontId="5" fillId="22" borderId="278" xfId="56" applyNumberFormat="1" applyFont="1" applyFill="1" applyBorder="1">
      <alignment/>
      <protection/>
    </xf>
    <xf numFmtId="3" fontId="5" fillId="0" borderId="232" xfId="56" applyNumberFormat="1" applyFont="1" applyFill="1" applyBorder="1">
      <alignment/>
      <protection/>
    </xf>
    <xf numFmtId="3" fontId="5" fillId="0" borderId="529" xfId="0" applyNumberFormat="1" applyFont="1" applyFill="1" applyBorder="1" applyAlignment="1">
      <alignment/>
    </xf>
    <xf numFmtId="3" fontId="5" fillId="0" borderId="63" xfId="56" applyNumberFormat="1" applyFont="1" applyFill="1" applyBorder="1">
      <alignment/>
      <protection/>
    </xf>
    <xf numFmtId="3" fontId="5" fillId="0" borderId="65" xfId="61" applyNumberFormat="1" applyFont="1" applyFill="1" applyBorder="1" applyAlignment="1">
      <alignment/>
      <protection/>
    </xf>
    <xf numFmtId="3" fontId="5" fillId="0" borderId="530" xfId="56" applyNumberFormat="1" applyFont="1" applyFill="1" applyBorder="1">
      <alignment/>
      <protection/>
    </xf>
    <xf numFmtId="3" fontId="5" fillId="0" borderId="275" xfId="61" applyNumberFormat="1" applyFont="1" applyFill="1" applyBorder="1" applyAlignment="1">
      <alignment horizontal="right"/>
      <protection/>
    </xf>
    <xf numFmtId="3" fontId="5" fillId="0" borderId="58" xfId="56" applyNumberFormat="1" applyFont="1" applyFill="1" applyBorder="1">
      <alignment/>
      <protection/>
    </xf>
    <xf numFmtId="3" fontId="5" fillId="0" borderId="266" xfId="61" applyNumberFormat="1" applyFont="1" applyFill="1" applyBorder="1" applyAlignment="1">
      <alignment horizontal="right"/>
      <protection/>
    </xf>
    <xf numFmtId="3" fontId="5" fillId="0" borderId="531" xfId="0" applyNumberFormat="1" applyFont="1" applyFill="1" applyBorder="1" applyAlignment="1">
      <alignment/>
    </xf>
    <xf numFmtId="3" fontId="5" fillId="0" borderId="532" xfId="0" applyNumberFormat="1" applyFont="1" applyFill="1" applyBorder="1" applyAlignment="1">
      <alignment/>
    </xf>
    <xf numFmtId="3" fontId="28" fillId="0" borderId="533" xfId="58" applyNumberFormat="1" applyFont="1" applyFill="1" applyBorder="1" applyAlignment="1">
      <alignment horizontal="right"/>
      <protection/>
    </xf>
    <xf numFmtId="3" fontId="5" fillId="0" borderId="534" xfId="58" applyNumberFormat="1" applyFont="1" applyFill="1" applyBorder="1" applyAlignment="1">
      <alignment horizontal="right"/>
      <protection/>
    </xf>
    <xf numFmtId="3" fontId="6" fillId="0" borderId="534" xfId="58" applyNumberFormat="1" applyFont="1" applyFill="1" applyBorder="1" applyAlignment="1">
      <alignment horizontal="right"/>
      <protection/>
    </xf>
    <xf numFmtId="3" fontId="12" fillId="0" borderId="535" xfId="58" applyNumberFormat="1" applyFont="1" applyFill="1" applyBorder="1" applyAlignment="1">
      <alignment horizontal="right"/>
      <protection/>
    </xf>
    <xf numFmtId="3" fontId="6" fillId="0" borderId="536" xfId="58" applyNumberFormat="1" applyFont="1" applyFill="1" applyBorder="1" applyAlignment="1">
      <alignment horizontal="right"/>
      <protection/>
    </xf>
    <xf numFmtId="3" fontId="9" fillId="0" borderId="537" xfId="56" applyNumberFormat="1" applyFont="1" applyFill="1" applyBorder="1">
      <alignment/>
      <protection/>
    </xf>
    <xf numFmtId="3" fontId="9" fillId="0" borderId="65" xfId="56" applyNumberFormat="1" applyFont="1" applyFill="1" applyBorder="1">
      <alignment/>
      <protection/>
    </xf>
    <xf numFmtId="3" fontId="9" fillId="0" borderId="57" xfId="56" applyNumberFormat="1" applyFont="1" applyFill="1" applyBorder="1">
      <alignment/>
      <protection/>
    </xf>
    <xf numFmtId="3" fontId="9" fillId="0" borderId="222" xfId="56" applyNumberFormat="1" applyFont="1" applyFill="1" applyBorder="1">
      <alignment/>
      <protection/>
    </xf>
    <xf numFmtId="3" fontId="6" fillId="0" borderId="538" xfId="0" applyNumberFormat="1" applyFont="1" applyFill="1" applyBorder="1" applyAlignment="1">
      <alignment/>
    </xf>
    <xf numFmtId="3" fontId="5" fillId="0" borderId="224" xfId="56" applyNumberFormat="1" applyFont="1" applyFill="1" applyBorder="1">
      <alignment/>
      <protection/>
    </xf>
    <xf numFmtId="3" fontId="5" fillId="0" borderId="222" xfId="61" applyNumberFormat="1" applyFont="1" applyFill="1" applyBorder="1" applyAlignment="1">
      <alignment horizontal="right"/>
      <protection/>
    </xf>
    <xf numFmtId="3" fontId="5" fillId="0" borderId="222" xfId="61" applyNumberFormat="1" applyFont="1" applyFill="1" applyBorder="1" applyAlignment="1">
      <alignment/>
      <protection/>
    </xf>
    <xf numFmtId="3" fontId="5" fillId="0" borderId="539" xfId="56" applyNumberFormat="1" applyFont="1" applyFill="1" applyBorder="1">
      <alignment/>
      <protection/>
    </xf>
    <xf numFmtId="3" fontId="5" fillId="0" borderId="223" xfId="56" applyNumberFormat="1" applyFont="1" applyFill="1" applyBorder="1">
      <alignment/>
      <protection/>
    </xf>
    <xf numFmtId="3" fontId="5" fillId="0" borderId="540" xfId="0" applyNumberFormat="1" applyFont="1" applyFill="1" applyBorder="1" applyAlignment="1">
      <alignment/>
    </xf>
    <xf numFmtId="3" fontId="28" fillId="0" borderId="541" xfId="58" applyNumberFormat="1" applyFont="1" applyFill="1" applyBorder="1" applyAlignment="1">
      <alignment horizontal="right"/>
      <protection/>
    </xf>
    <xf numFmtId="3" fontId="28" fillId="0" borderId="542" xfId="58" applyNumberFormat="1" applyFont="1" applyFill="1" applyBorder="1" applyAlignment="1">
      <alignment horizontal="right"/>
      <protection/>
    </xf>
    <xf numFmtId="3" fontId="5" fillId="0" borderId="502" xfId="58" applyNumberFormat="1" applyFont="1" applyFill="1" applyBorder="1" applyAlignment="1">
      <alignment horizontal="right"/>
      <protection/>
    </xf>
    <xf numFmtId="3" fontId="5" fillId="0" borderId="503" xfId="58" applyNumberFormat="1" applyFont="1" applyFill="1" applyBorder="1" applyAlignment="1">
      <alignment horizontal="right"/>
      <protection/>
    </xf>
    <xf numFmtId="3" fontId="6" fillId="0" borderId="502" xfId="58" applyNumberFormat="1" applyFont="1" applyFill="1" applyBorder="1" applyAlignment="1">
      <alignment horizontal="right"/>
      <protection/>
    </xf>
    <xf numFmtId="3" fontId="6" fillId="0" borderId="503" xfId="58" applyNumberFormat="1" applyFont="1" applyFill="1" applyBorder="1" applyAlignment="1">
      <alignment horizontal="right"/>
      <protection/>
    </xf>
    <xf numFmtId="3" fontId="12" fillId="0" borderId="543" xfId="58" applyNumberFormat="1" applyFont="1" applyFill="1" applyBorder="1" applyAlignment="1">
      <alignment horizontal="right"/>
      <protection/>
    </xf>
    <xf numFmtId="3" fontId="12" fillId="0" borderId="544" xfId="58" applyNumberFormat="1" applyFont="1" applyFill="1" applyBorder="1" applyAlignment="1">
      <alignment horizontal="right"/>
      <protection/>
    </xf>
    <xf numFmtId="3" fontId="6" fillId="0" borderId="488" xfId="58" applyNumberFormat="1" applyFont="1" applyFill="1" applyBorder="1" applyAlignment="1">
      <alignment horizontal="right"/>
      <protection/>
    </xf>
    <xf numFmtId="3" fontId="6" fillId="0" borderId="244" xfId="58" applyNumberFormat="1" applyFont="1" applyFill="1" applyBorder="1" applyAlignment="1">
      <alignment horizontal="right"/>
      <protection/>
    </xf>
    <xf numFmtId="3" fontId="9" fillId="0" borderId="493" xfId="56" applyNumberFormat="1" applyFont="1" applyFill="1" applyBorder="1">
      <alignment/>
      <protection/>
    </xf>
    <xf numFmtId="3" fontId="9" fillId="0" borderId="248" xfId="56" applyNumberFormat="1" applyFont="1" applyFill="1" applyBorder="1">
      <alignment/>
      <protection/>
    </xf>
    <xf numFmtId="3" fontId="6" fillId="0" borderId="494" xfId="0" applyNumberFormat="1" applyFont="1" applyFill="1" applyBorder="1" applyAlignment="1">
      <alignment/>
    </xf>
    <xf numFmtId="3" fontId="6" fillId="0" borderId="495" xfId="0" applyNumberFormat="1" applyFont="1" applyFill="1" applyBorder="1" applyAlignment="1">
      <alignment/>
    </xf>
    <xf numFmtId="3" fontId="5" fillId="0" borderId="501" xfId="56" applyNumberFormat="1" applyFont="1" applyFill="1" applyBorder="1">
      <alignment/>
      <protection/>
    </xf>
    <xf numFmtId="3" fontId="5" fillId="0" borderId="493" xfId="61" applyNumberFormat="1" applyFont="1" applyFill="1" applyBorder="1" applyAlignment="1">
      <alignment horizontal="right"/>
      <protection/>
    </xf>
    <xf numFmtId="3" fontId="5" fillId="0" borderId="493" xfId="61" applyNumberFormat="1" applyFont="1" applyFill="1" applyBorder="1" applyAlignment="1">
      <alignment/>
      <protection/>
    </xf>
    <xf numFmtId="3" fontId="5" fillId="0" borderId="545" xfId="56" applyNumberFormat="1" applyFont="1" applyFill="1" applyBorder="1">
      <alignment/>
      <protection/>
    </xf>
    <xf numFmtId="3" fontId="5" fillId="0" borderId="546" xfId="0" applyNumberFormat="1" applyFont="1" applyFill="1" applyBorder="1" applyAlignment="1">
      <alignment/>
    </xf>
    <xf numFmtId="3" fontId="5" fillId="0" borderId="502" xfId="56" applyNumberFormat="1" applyFont="1" applyFill="1" applyBorder="1">
      <alignment/>
      <protection/>
    </xf>
    <xf numFmtId="3" fontId="5" fillId="0" borderId="503" xfId="56" applyNumberFormat="1" applyFont="1" applyFill="1" applyBorder="1">
      <alignment/>
      <protection/>
    </xf>
    <xf numFmtId="3" fontId="5" fillId="0" borderId="547" xfId="0" applyNumberFormat="1" applyFont="1" applyFill="1" applyBorder="1" applyAlignment="1">
      <alignment/>
    </xf>
    <xf numFmtId="3" fontId="5" fillId="0" borderId="548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96" xfId="56" applyNumberFormat="1" applyFont="1" applyFill="1" applyBorder="1" applyAlignment="1">
      <alignment/>
      <protection/>
    </xf>
    <xf numFmtId="3" fontId="9" fillId="23" borderId="357" xfId="56" applyNumberFormat="1" applyFont="1" applyFill="1" applyBorder="1" applyAlignment="1">
      <alignment/>
      <protection/>
    </xf>
    <xf numFmtId="3" fontId="9" fillId="22" borderId="549" xfId="56" applyNumberFormat="1" applyFont="1" applyFill="1" applyBorder="1" applyAlignment="1">
      <alignment horizontal="right"/>
      <protection/>
    </xf>
    <xf numFmtId="3" fontId="5" fillId="0" borderId="242" xfId="0" applyNumberFormat="1" applyFont="1" applyFill="1" applyBorder="1" applyAlignment="1">
      <alignment/>
    </xf>
    <xf numFmtId="3" fontId="9" fillId="23" borderId="550" xfId="56" applyNumberFormat="1" applyFont="1" applyFill="1" applyBorder="1" applyAlignment="1">
      <alignment horizontal="right"/>
      <protection/>
    </xf>
    <xf numFmtId="3" fontId="9" fillId="23" borderId="551" xfId="56" applyNumberFormat="1" applyFont="1" applyFill="1" applyBorder="1" applyAlignment="1">
      <alignment horizontal="right"/>
      <protection/>
    </xf>
    <xf numFmtId="3" fontId="5" fillId="0" borderId="272" xfId="0" applyNumberFormat="1" applyFont="1" applyFill="1" applyBorder="1" applyAlignment="1">
      <alignment/>
    </xf>
    <xf numFmtId="3" fontId="9" fillId="23" borderId="163" xfId="0" applyNumberFormat="1" applyFont="1" applyFill="1" applyBorder="1" applyAlignment="1">
      <alignment horizontal="right"/>
    </xf>
    <xf numFmtId="3" fontId="5" fillId="0" borderId="222" xfId="0" applyNumberFormat="1" applyFont="1" applyFill="1" applyBorder="1" applyAlignment="1">
      <alignment/>
    </xf>
    <xf numFmtId="3" fontId="9" fillId="23" borderId="552" xfId="56" applyNumberFormat="1" applyFont="1" applyFill="1" applyBorder="1" applyAlignment="1">
      <alignment horizontal="right"/>
      <protection/>
    </xf>
    <xf numFmtId="3" fontId="5" fillId="0" borderId="553" xfId="0" applyNumberFormat="1" applyFont="1" applyFill="1" applyBorder="1" applyAlignment="1">
      <alignment/>
    </xf>
    <xf numFmtId="3" fontId="5" fillId="0" borderId="554" xfId="0" applyNumberFormat="1" applyFont="1" applyFill="1" applyBorder="1" applyAlignment="1">
      <alignment/>
    </xf>
    <xf numFmtId="3" fontId="9" fillId="23" borderId="555" xfId="56" applyNumberFormat="1" applyFont="1" applyFill="1" applyBorder="1" applyAlignment="1">
      <alignment horizontal="right"/>
      <protection/>
    </xf>
    <xf numFmtId="3" fontId="5" fillId="0" borderId="249" xfId="0" applyNumberFormat="1" applyFont="1" applyFill="1" applyBorder="1" applyAlignment="1">
      <alignment/>
    </xf>
    <xf numFmtId="3" fontId="5" fillId="0" borderId="286" xfId="0" applyNumberFormat="1" applyFont="1" applyFill="1" applyBorder="1" applyAlignment="1">
      <alignment/>
    </xf>
    <xf numFmtId="3" fontId="5" fillId="0" borderId="128" xfId="56" applyNumberFormat="1" applyFont="1" applyFill="1" applyBorder="1" applyAlignment="1">
      <alignment horizontal="right"/>
      <protection/>
    </xf>
    <xf numFmtId="3" fontId="5" fillId="8" borderId="65" xfId="0" applyNumberFormat="1" applyFont="1" applyFill="1" applyBorder="1" applyAlignment="1">
      <alignment/>
    </xf>
    <xf numFmtId="3" fontId="5" fillId="8" borderId="57" xfId="0" applyNumberFormat="1" applyFont="1" applyFill="1" applyBorder="1" applyAlignment="1">
      <alignment/>
    </xf>
    <xf numFmtId="3" fontId="6" fillId="0" borderId="352" xfId="56" applyNumberFormat="1" applyFont="1" applyFill="1" applyBorder="1" applyAlignment="1">
      <alignment horizontal="right"/>
      <protection/>
    </xf>
    <xf numFmtId="3" fontId="9" fillId="0" borderId="66" xfId="0" applyNumberFormat="1" applyFont="1" applyFill="1" applyBorder="1" applyAlignment="1">
      <alignment/>
    </xf>
    <xf numFmtId="3" fontId="5" fillId="0" borderId="66" xfId="0" applyNumberFormat="1" applyFont="1" applyFill="1" applyBorder="1" applyAlignment="1">
      <alignment/>
    </xf>
    <xf numFmtId="3" fontId="6" fillId="0" borderId="66" xfId="0" applyNumberFormat="1" applyFont="1" applyFill="1" applyBorder="1" applyAlignment="1">
      <alignment/>
    </xf>
    <xf numFmtId="3" fontId="6" fillId="0" borderId="108" xfId="0" applyNumberFormat="1" applyFont="1" applyFill="1" applyBorder="1" applyAlignment="1">
      <alignment/>
    </xf>
    <xf numFmtId="3" fontId="6" fillId="0" borderId="219" xfId="0" applyNumberFormat="1" applyFont="1" applyFill="1" applyBorder="1" applyAlignment="1">
      <alignment/>
    </xf>
    <xf numFmtId="3" fontId="5" fillId="0" borderId="484" xfId="0" applyNumberFormat="1" applyFont="1" applyFill="1" applyBorder="1" applyAlignment="1">
      <alignment/>
    </xf>
    <xf numFmtId="3" fontId="5" fillId="0" borderId="48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9" fillId="4" borderId="139" xfId="58" applyNumberFormat="1" applyFont="1" applyFill="1" applyBorder="1" applyAlignment="1">
      <alignment horizontal="right"/>
      <protection/>
    </xf>
    <xf numFmtId="3" fontId="5" fillId="0" borderId="24" xfId="56" applyNumberFormat="1" applyFont="1" applyFill="1" applyBorder="1" applyAlignment="1">
      <alignment horizontal="right" wrapText="1"/>
      <protection/>
    </xf>
    <xf numFmtId="3" fontId="5" fillId="0" borderId="293" xfId="56" applyNumberFormat="1" applyFont="1" applyFill="1" applyBorder="1" applyAlignment="1">
      <alignment horizontal="right" wrapText="1"/>
      <protection/>
    </xf>
    <xf numFmtId="3" fontId="5" fillId="22" borderId="273" xfId="56" applyNumberFormat="1" applyFont="1" applyFill="1" applyBorder="1">
      <alignment/>
      <protection/>
    </xf>
    <xf numFmtId="3" fontId="5" fillId="22" borderId="299" xfId="56" applyNumberFormat="1" applyFont="1" applyFill="1" applyBorder="1">
      <alignment/>
      <protection/>
    </xf>
    <xf numFmtId="0" fontId="5" fillId="0" borderId="496" xfId="0" applyFont="1" applyFill="1" applyBorder="1" applyAlignment="1">
      <alignment/>
    </xf>
    <xf numFmtId="0" fontId="5" fillId="0" borderId="498" xfId="0" applyFont="1" applyFill="1" applyBorder="1" applyAlignment="1">
      <alignment/>
    </xf>
    <xf numFmtId="3" fontId="5" fillId="0" borderId="71" xfId="56" applyNumberFormat="1" applyFont="1" applyFill="1" applyBorder="1">
      <alignment/>
      <protection/>
    </xf>
    <xf numFmtId="3" fontId="5" fillId="0" borderId="127" xfId="56" applyNumberFormat="1" applyFont="1" applyFill="1" applyBorder="1">
      <alignment/>
      <protection/>
    </xf>
    <xf numFmtId="3" fontId="5" fillId="0" borderId="348" xfId="56" applyNumberFormat="1" applyFont="1" applyFill="1" applyBorder="1">
      <alignment/>
      <protection/>
    </xf>
    <xf numFmtId="3" fontId="5" fillId="0" borderId="298" xfId="56" applyNumberFormat="1" applyFont="1" applyFill="1" applyBorder="1">
      <alignment/>
      <protection/>
    </xf>
    <xf numFmtId="3" fontId="5" fillId="0" borderId="24" xfId="56" applyNumberFormat="1" applyFont="1" applyFill="1" applyBorder="1" applyAlignment="1">
      <alignment horizontal="right"/>
      <protection/>
    </xf>
    <xf numFmtId="3" fontId="5" fillId="0" borderId="398" xfId="56" applyNumberFormat="1" applyFont="1" applyFill="1" applyBorder="1" applyAlignment="1">
      <alignment horizontal="right"/>
      <protection/>
    </xf>
    <xf numFmtId="3" fontId="5" fillId="8" borderId="556" xfId="0" applyNumberFormat="1" applyFont="1" applyFill="1" applyBorder="1" applyAlignment="1">
      <alignment/>
    </xf>
    <xf numFmtId="3" fontId="5" fillId="8" borderId="69" xfId="0" applyNumberFormat="1" applyFont="1" applyFill="1" applyBorder="1" applyAlignment="1">
      <alignment/>
    </xf>
    <xf numFmtId="3" fontId="6" fillId="0" borderId="220" xfId="0" applyNumberFormat="1" applyFont="1" applyFill="1" applyBorder="1" applyAlignment="1">
      <alignment/>
    </xf>
    <xf numFmtId="3" fontId="5" fillId="0" borderId="297" xfId="0" applyNumberFormat="1" applyFont="1" applyFill="1" applyBorder="1" applyAlignment="1">
      <alignment/>
    </xf>
    <xf numFmtId="3" fontId="30" fillId="0" borderId="29" xfId="0" applyNumberFormat="1" applyFont="1" applyFill="1" applyBorder="1" applyAlignment="1">
      <alignment horizontal="right"/>
    </xf>
    <xf numFmtId="3" fontId="31" fillId="0" borderId="13" xfId="0" applyNumberFormat="1" applyFont="1" applyFill="1" applyBorder="1" applyAlignment="1">
      <alignment horizontal="right"/>
    </xf>
    <xf numFmtId="3" fontId="31" fillId="0" borderId="345" xfId="0" applyNumberFormat="1" applyFont="1" applyFill="1" applyBorder="1" applyAlignment="1">
      <alignment horizontal="right"/>
    </xf>
    <xf numFmtId="3" fontId="31" fillId="0" borderId="346" xfId="0" applyNumberFormat="1" applyFont="1" applyFill="1" applyBorder="1" applyAlignment="1">
      <alignment horizontal="right"/>
    </xf>
    <xf numFmtId="3" fontId="5" fillId="0" borderId="557" xfId="0" applyNumberFormat="1" applyFont="1" applyFill="1" applyBorder="1" applyAlignment="1">
      <alignment/>
    </xf>
    <xf numFmtId="3" fontId="5" fillId="0" borderId="19" xfId="62" applyNumberFormat="1" applyFont="1" applyFill="1" applyBorder="1" applyAlignment="1">
      <alignment/>
      <protection/>
    </xf>
    <xf numFmtId="3" fontId="5" fillId="0" borderId="24" xfId="59" applyNumberFormat="1" applyFont="1" applyFill="1" applyBorder="1" applyAlignment="1">
      <alignment/>
      <protection/>
    </xf>
    <xf numFmtId="3" fontId="6" fillId="0" borderId="19" xfId="56" applyNumberFormat="1" applyFont="1" applyFill="1" applyBorder="1" applyAlignment="1">
      <alignment/>
      <protection/>
    </xf>
    <xf numFmtId="3" fontId="9" fillId="0" borderId="19" xfId="62" applyNumberFormat="1" applyFont="1" applyFill="1" applyBorder="1" applyAlignment="1">
      <alignment/>
      <protection/>
    </xf>
    <xf numFmtId="3" fontId="6" fillId="0" borderId="19" xfId="56" applyNumberFormat="1" applyFont="1" applyFill="1" applyBorder="1" applyAlignment="1">
      <alignment/>
      <protection/>
    </xf>
    <xf numFmtId="3" fontId="5" fillId="0" borderId="19" xfId="56" applyNumberFormat="1" applyFont="1" applyFill="1" applyBorder="1" applyAlignment="1">
      <alignment horizontal="right" indent="1"/>
      <protection/>
    </xf>
    <xf numFmtId="3" fontId="6" fillId="0" borderId="388" xfId="56" applyNumberFormat="1" applyFont="1" applyFill="1" applyBorder="1" applyAlignment="1">
      <alignment horizontal="right" indent="1"/>
      <protection/>
    </xf>
    <xf numFmtId="3" fontId="5" fillId="0" borderId="63" xfId="56" applyNumberFormat="1" applyFont="1" applyFill="1" applyBorder="1" applyAlignment="1">
      <alignment/>
      <protection/>
    </xf>
    <xf numFmtId="3" fontId="5" fillId="0" borderId="65" xfId="62" applyNumberFormat="1" applyFont="1" applyFill="1" applyBorder="1" applyAlignment="1">
      <alignment horizontal="right"/>
      <protection/>
    </xf>
    <xf numFmtId="3" fontId="5" fillId="0" borderId="65" xfId="63" applyNumberFormat="1" applyFont="1" applyFill="1" applyBorder="1" applyAlignment="1">
      <alignment horizontal="right"/>
      <protection/>
    </xf>
    <xf numFmtId="3" fontId="5" fillId="8" borderId="65" xfId="59" applyNumberFormat="1" applyFont="1" applyFill="1" applyBorder="1" applyAlignment="1">
      <alignment/>
      <protection/>
    </xf>
    <xf numFmtId="3" fontId="5" fillId="8" borderId="57" xfId="59" applyNumberFormat="1" applyFont="1" applyFill="1" applyBorder="1" applyAlignment="1">
      <alignment/>
      <protection/>
    </xf>
    <xf numFmtId="3" fontId="9" fillId="4" borderId="55" xfId="0" applyNumberFormat="1" applyFont="1" applyFill="1" applyBorder="1" applyAlignment="1">
      <alignment/>
    </xf>
    <xf numFmtId="3" fontId="5" fillId="0" borderId="63" xfId="59" applyNumberFormat="1" applyFont="1" applyFill="1" applyBorder="1" applyAlignment="1">
      <alignment horizontal="right"/>
      <protection/>
    </xf>
    <xf numFmtId="3" fontId="5" fillId="0" borderId="71" xfId="0" applyNumberFormat="1" applyFont="1" applyFill="1" applyBorder="1" applyAlignment="1">
      <alignment horizontal="right"/>
    </xf>
    <xf numFmtId="3" fontId="5" fillId="0" borderId="68" xfId="0" applyNumberFormat="1" applyFont="1" applyFill="1" applyBorder="1" applyAlignment="1">
      <alignment horizontal="right"/>
    </xf>
    <xf numFmtId="3" fontId="9" fillId="0" borderId="65" xfId="62" applyNumberFormat="1" applyFont="1" applyFill="1" applyBorder="1" applyAlignment="1">
      <alignment horizontal="right"/>
      <protection/>
    </xf>
    <xf numFmtId="3" fontId="6" fillId="0" borderId="65" xfId="62" applyNumberFormat="1" applyFont="1" applyFill="1" applyBorder="1" applyAlignment="1">
      <alignment horizontal="right"/>
      <protection/>
    </xf>
    <xf numFmtId="3" fontId="6" fillId="0" borderId="65" xfId="62" applyNumberFormat="1" applyFont="1" applyFill="1" applyBorder="1" applyAlignment="1">
      <alignment horizontal="right"/>
      <protection/>
    </xf>
    <xf numFmtId="3" fontId="6" fillId="0" borderId="65" xfId="63" applyNumberFormat="1" applyFont="1" applyFill="1" applyBorder="1" applyAlignment="1">
      <alignment horizontal="right"/>
      <protection/>
    </xf>
    <xf numFmtId="3" fontId="9" fillId="0" borderId="63" xfId="0" applyNumberFormat="1" applyFont="1" applyFill="1" applyBorder="1" applyAlignment="1">
      <alignment/>
    </xf>
    <xf numFmtId="3" fontId="6" fillId="0" borderId="61" xfId="0" applyNumberFormat="1" applyFont="1" applyFill="1" applyBorder="1" applyAlignment="1">
      <alignment/>
    </xf>
    <xf numFmtId="3" fontId="6" fillId="0" borderId="272" xfId="0" applyNumberFormat="1" applyFont="1" applyFill="1" applyBorder="1" applyAlignment="1">
      <alignment/>
    </xf>
    <xf numFmtId="3" fontId="5" fillId="0" borderId="209" xfId="62" applyNumberFormat="1" applyFont="1" applyFill="1" applyBorder="1" applyAlignment="1">
      <alignment horizontal="right"/>
      <protection/>
    </xf>
    <xf numFmtId="3" fontId="6" fillId="0" borderId="209" xfId="62" applyNumberFormat="1" applyFont="1" applyFill="1" applyBorder="1" applyAlignment="1">
      <alignment horizontal="right"/>
      <protection/>
    </xf>
    <xf numFmtId="3" fontId="6" fillId="0" borderId="209" xfId="62" applyNumberFormat="1" applyFont="1" applyFill="1" applyBorder="1" applyAlignment="1">
      <alignment horizontal="right"/>
      <protection/>
    </xf>
    <xf numFmtId="3" fontId="6" fillId="0" borderId="348" xfId="0" applyNumberFormat="1" applyFont="1" applyFill="1" applyBorder="1" applyAlignment="1">
      <alignment/>
    </xf>
    <xf numFmtId="3" fontId="5" fillId="0" borderId="208" xfId="59" applyNumberFormat="1" applyFont="1" applyFill="1" applyBorder="1" applyAlignment="1">
      <alignment horizontal="right"/>
      <protection/>
    </xf>
    <xf numFmtId="3" fontId="6" fillId="0" borderId="10" xfId="63" applyNumberFormat="1" applyFont="1" applyFill="1" applyBorder="1" applyAlignment="1">
      <alignment horizontal="right"/>
      <protection/>
    </xf>
    <xf numFmtId="3" fontId="6" fillId="0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right" wrapText="1"/>
    </xf>
    <xf numFmtId="3" fontId="5" fillId="0" borderId="24" xfId="62" applyNumberFormat="1" applyFont="1" applyFill="1" applyBorder="1" applyAlignment="1">
      <alignment/>
      <protection/>
    </xf>
    <xf numFmtId="3" fontId="5" fillId="8" borderId="66" xfId="0" applyNumberFormat="1" applyFont="1" applyFill="1" applyBorder="1" applyAlignment="1">
      <alignment/>
    </xf>
    <xf numFmtId="3" fontId="5" fillId="8" borderId="108" xfId="0" applyNumberFormat="1" applyFont="1" applyFill="1" applyBorder="1" applyAlignment="1">
      <alignment/>
    </xf>
    <xf numFmtId="3" fontId="8" fillId="20" borderId="558" xfId="0" applyNumberFormat="1" applyFont="1" applyFill="1" applyBorder="1" applyAlignment="1">
      <alignment horizontal="right"/>
    </xf>
    <xf numFmtId="3" fontId="9" fillId="23" borderId="559" xfId="0" applyNumberFormat="1" applyFont="1" applyFill="1" applyBorder="1" applyAlignment="1">
      <alignment horizontal="right"/>
    </xf>
    <xf numFmtId="3" fontId="9" fillId="4" borderId="559" xfId="0" applyNumberFormat="1" applyFont="1" applyFill="1" applyBorder="1" applyAlignment="1">
      <alignment horizontal="right"/>
    </xf>
    <xf numFmtId="3" fontId="22" fillId="4" borderId="293" xfId="0" applyNumberFormat="1" applyFont="1" applyFill="1" applyBorder="1" applyAlignment="1">
      <alignment horizontal="right"/>
    </xf>
    <xf numFmtId="3" fontId="9" fillId="4" borderId="558" xfId="0" applyNumberFormat="1" applyFont="1" applyFill="1" applyBorder="1" applyAlignment="1">
      <alignment horizontal="right"/>
    </xf>
    <xf numFmtId="3" fontId="5" fillId="0" borderId="96" xfId="63" applyNumberFormat="1" applyFont="1" applyFill="1" applyBorder="1" applyAlignment="1">
      <alignment horizontal="right"/>
      <protection/>
    </xf>
    <xf numFmtId="3" fontId="5" fillId="0" borderId="19" xfId="59" applyNumberFormat="1" applyFont="1" applyFill="1" applyBorder="1" applyAlignment="1">
      <alignment horizontal="right"/>
      <protection/>
    </xf>
    <xf numFmtId="3" fontId="22" fillId="0" borderId="19" xfId="59" applyNumberFormat="1" applyFont="1" applyFill="1" applyBorder="1" applyAlignment="1">
      <alignment horizontal="right"/>
      <protection/>
    </xf>
    <xf numFmtId="3" fontId="5" fillId="0" borderId="293" xfId="0" applyNumberFormat="1" applyFont="1" applyFill="1" applyBorder="1" applyAlignment="1">
      <alignment horizontal="right"/>
    </xf>
    <xf numFmtId="3" fontId="5" fillId="0" borderId="19" xfId="59" applyNumberFormat="1" applyFont="1" applyFill="1" applyBorder="1" applyAlignment="1">
      <alignment horizontal="right" wrapText="1"/>
      <protection/>
    </xf>
    <xf numFmtId="3" fontId="5" fillId="0" borderId="352" xfId="59" applyNumberFormat="1" applyFont="1" applyFill="1" applyBorder="1" applyAlignment="1">
      <alignment horizontal="right" wrapText="1"/>
      <protection/>
    </xf>
    <xf numFmtId="3" fontId="5" fillId="0" borderId="19" xfId="63" applyNumberFormat="1" applyFont="1" applyFill="1" applyBorder="1" applyAlignment="1">
      <alignment horizontal="right" wrapText="1"/>
      <protection/>
    </xf>
    <xf numFmtId="3" fontId="5" fillId="0" borderId="352" xfId="63" applyNumberFormat="1" applyFont="1" applyFill="1" applyBorder="1" applyAlignment="1">
      <alignment horizontal="right"/>
      <protection/>
    </xf>
    <xf numFmtId="3" fontId="5" fillId="0" borderId="47" xfId="63" applyNumberFormat="1" applyFont="1" applyFill="1" applyBorder="1" applyAlignment="1">
      <alignment horizontal="right"/>
      <protection/>
    </xf>
    <xf numFmtId="3" fontId="6" fillId="0" borderId="19" xfId="56" applyNumberFormat="1" applyFont="1" applyFill="1" applyBorder="1" applyAlignment="1">
      <alignment horizontal="right"/>
      <protection/>
    </xf>
    <xf numFmtId="3" fontId="8" fillId="20" borderId="560" xfId="0" applyNumberFormat="1" applyFont="1" applyFill="1" applyBorder="1" applyAlignment="1">
      <alignment horizontal="right"/>
    </xf>
    <xf numFmtId="3" fontId="8" fillId="20" borderId="561" xfId="0" applyNumberFormat="1" applyFont="1" applyFill="1" applyBorder="1" applyAlignment="1">
      <alignment horizontal="right"/>
    </xf>
    <xf numFmtId="3" fontId="9" fillId="23" borderId="562" xfId="0" applyNumberFormat="1" applyFont="1" applyFill="1" applyBorder="1" applyAlignment="1">
      <alignment horizontal="right"/>
    </xf>
    <xf numFmtId="3" fontId="9" fillId="23" borderId="563" xfId="0" applyNumberFormat="1" applyFont="1" applyFill="1" applyBorder="1" applyAlignment="1">
      <alignment horizontal="right"/>
    </xf>
    <xf numFmtId="3" fontId="9" fillId="4" borderId="562" xfId="0" applyNumberFormat="1" applyFont="1" applyFill="1" applyBorder="1" applyAlignment="1">
      <alignment horizontal="right"/>
    </xf>
    <xf numFmtId="3" fontId="9" fillId="4" borderId="563" xfId="0" applyNumberFormat="1" applyFont="1" applyFill="1" applyBorder="1" applyAlignment="1">
      <alignment horizontal="right"/>
    </xf>
    <xf numFmtId="3" fontId="22" fillId="4" borderId="58" xfId="0" applyNumberFormat="1" applyFont="1" applyFill="1" applyBorder="1" applyAlignment="1">
      <alignment horizontal="right"/>
    </xf>
    <xf numFmtId="3" fontId="22" fillId="4" borderId="266" xfId="0" applyNumberFormat="1" applyFont="1" applyFill="1" applyBorder="1" applyAlignment="1">
      <alignment horizontal="right"/>
    </xf>
    <xf numFmtId="3" fontId="9" fillId="4" borderId="560" xfId="0" applyNumberFormat="1" applyFont="1" applyFill="1" applyBorder="1" applyAlignment="1">
      <alignment horizontal="right"/>
    </xf>
    <xf numFmtId="3" fontId="9" fillId="4" borderId="561" xfId="0" applyNumberFormat="1" applyFont="1" applyFill="1" applyBorder="1" applyAlignment="1">
      <alignment horizontal="right"/>
    </xf>
    <xf numFmtId="3" fontId="5" fillId="0" borderId="65" xfId="59" applyNumberFormat="1" applyFont="1" applyFill="1" applyBorder="1" applyAlignment="1">
      <alignment horizontal="right"/>
      <protection/>
    </xf>
    <xf numFmtId="3" fontId="5" fillId="0" borderId="57" xfId="59" applyNumberFormat="1" applyFont="1" applyFill="1" applyBorder="1" applyAlignment="1">
      <alignment horizontal="right"/>
      <protection/>
    </xf>
    <xf numFmtId="3" fontId="22" fillId="0" borderId="65" xfId="59" applyNumberFormat="1" applyFont="1" applyFill="1" applyBorder="1" applyAlignment="1">
      <alignment horizontal="right"/>
      <protection/>
    </xf>
    <xf numFmtId="3" fontId="22" fillId="0" borderId="57" xfId="59" applyNumberFormat="1" applyFont="1" applyFill="1" applyBorder="1" applyAlignment="1">
      <alignment horizontal="right"/>
      <protection/>
    </xf>
    <xf numFmtId="3" fontId="5" fillId="0" borderId="58" xfId="0" applyNumberFormat="1" applyFont="1" applyFill="1" applyBorder="1" applyAlignment="1">
      <alignment/>
    </xf>
    <xf numFmtId="3" fontId="5" fillId="0" borderId="65" xfId="56" applyNumberFormat="1" applyFont="1" applyFill="1" applyBorder="1" applyAlignment="1">
      <alignment horizontal="right"/>
      <protection/>
    </xf>
    <xf numFmtId="3" fontId="5" fillId="0" borderId="57" xfId="56" applyNumberFormat="1" applyFont="1" applyFill="1" applyBorder="1" applyAlignment="1">
      <alignment horizontal="right"/>
      <protection/>
    </xf>
    <xf numFmtId="3" fontId="8" fillId="20" borderId="564" xfId="0" applyNumberFormat="1" applyFont="1" applyFill="1" applyBorder="1" applyAlignment="1">
      <alignment horizontal="right"/>
    </xf>
    <xf numFmtId="3" fontId="22" fillId="4" borderId="368" xfId="0" applyNumberFormat="1" applyFont="1" applyFill="1" applyBorder="1" applyAlignment="1">
      <alignment horizontal="right"/>
    </xf>
    <xf numFmtId="3" fontId="9" fillId="4" borderId="564" xfId="0" applyNumberFormat="1" applyFont="1" applyFill="1" applyBorder="1" applyAlignment="1">
      <alignment horizontal="right"/>
    </xf>
    <xf numFmtId="3" fontId="5" fillId="0" borderId="302" xfId="59" applyNumberFormat="1" applyFont="1" applyFill="1" applyBorder="1" applyAlignment="1">
      <alignment horizontal="right"/>
      <protection/>
    </xf>
    <xf numFmtId="3" fontId="22" fillId="0" borderId="302" xfId="59" applyNumberFormat="1" applyFont="1" applyFill="1" applyBorder="1" applyAlignment="1">
      <alignment horizontal="right"/>
      <protection/>
    </xf>
    <xf numFmtId="3" fontId="5" fillId="0" borderId="302" xfId="0" applyNumberFormat="1" applyFont="1" applyFill="1" applyBorder="1" applyAlignment="1">
      <alignment horizontal="right"/>
    </xf>
    <xf numFmtId="3" fontId="5" fillId="0" borderId="565" xfId="0" applyNumberFormat="1" applyFont="1" applyFill="1" applyBorder="1" applyAlignment="1">
      <alignment/>
    </xf>
    <xf numFmtId="3" fontId="6" fillId="0" borderId="209" xfId="0" applyNumberFormat="1" applyFont="1" applyFill="1" applyBorder="1" applyAlignment="1">
      <alignment/>
    </xf>
    <xf numFmtId="3" fontId="8" fillId="20" borderId="566" xfId="0" applyNumberFormat="1" applyFont="1" applyFill="1" applyBorder="1" applyAlignment="1">
      <alignment horizontal="right"/>
    </xf>
    <xf numFmtId="3" fontId="9" fillId="23" borderId="567" xfId="0" applyNumberFormat="1" applyFont="1" applyFill="1" applyBorder="1" applyAlignment="1">
      <alignment horizontal="right"/>
    </xf>
    <xf numFmtId="3" fontId="9" fillId="4" borderId="567" xfId="0" applyNumberFormat="1" applyFont="1" applyFill="1" applyBorder="1" applyAlignment="1">
      <alignment horizontal="right"/>
    </xf>
    <xf numFmtId="3" fontId="22" fillId="4" borderId="223" xfId="0" applyNumberFormat="1" applyFont="1" applyFill="1" applyBorder="1" applyAlignment="1">
      <alignment horizontal="right"/>
    </xf>
    <xf numFmtId="3" fontId="9" fillId="4" borderId="566" xfId="0" applyNumberFormat="1" applyFont="1" applyFill="1" applyBorder="1" applyAlignment="1">
      <alignment horizontal="right"/>
    </xf>
    <xf numFmtId="3" fontId="5" fillId="0" borderId="222" xfId="59" applyNumberFormat="1" applyFont="1" applyFill="1" applyBorder="1" applyAlignment="1">
      <alignment horizontal="right"/>
      <protection/>
    </xf>
    <xf numFmtId="3" fontId="22" fillId="0" borderId="222" xfId="59" applyNumberFormat="1" applyFont="1" applyFill="1" applyBorder="1" applyAlignment="1">
      <alignment horizontal="right"/>
      <protection/>
    </xf>
    <xf numFmtId="3" fontId="5" fillId="0" borderId="222" xfId="0" applyNumberFormat="1" applyFont="1" applyFill="1" applyBorder="1" applyAlignment="1">
      <alignment horizontal="right"/>
    </xf>
    <xf numFmtId="3" fontId="8" fillId="20" borderId="568" xfId="0" applyNumberFormat="1" applyFont="1" applyFill="1" applyBorder="1" applyAlignment="1">
      <alignment horizontal="right"/>
    </xf>
    <xf numFmtId="3" fontId="8" fillId="20" borderId="569" xfId="0" applyNumberFormat="1" applyFont="1" applyFill="1" applyBorder="1" applyAlignment="1">
      <alignment horizontal="right"/>
    </xf>
    <xf numFmtId="3" fontId="9" fillId="23" borderId="570" xfId="0" applyNumberFormat="1" applyFont="1" applyFill="1" applyBorder="1" applyAlignment="1">
      <alignment horizontal="right"/>
    </xf>
    <xf numFmtId="3" fontId="9" fillId="23" borderId="571" xfId="0" applyNumberFormat="1" applyFont="1" applyFill="1" applyBorder="1" applyAlignment="1">
      <alignment horizontal="right"/>
    </xf>
    <xf numFmtId="3" fontId="9" fillId="4" borderId="570" xfId="0" applyNumberFormat="1" applyFont="1" applyFill="1" applyBorder="1" applyAlignment="1">
      <alignment horizontal="right"/>
    </xf>
    <xf numFmtId="3" fontId="9" fillId="4" borderId="571" xfId="0" applyNumberFormat="1" applyFont="1" applyFill="1" applyBorder="1" applyAlignment="1">
      <alignment horizontal="right"/>
    </xf>
    <xf numFmtId="3" fontId="22" fillId="4" borderId="502" xfId="0" applyNumberFormat="1" applyFont="1" applyFill="1" applyBorder="1" applyAlignment="1">
      <alignment horizontal="right"/>
    </xf>
    <xf numFmtId="3" fontId="22" fillId="4" borderId="503" xfId="0" applyNumberFormat="1" applyFont="1" applyFill="1" applyBorder="1" applyAlignment="1">
      <alignment horizontal="right"/>
    </xf>
    <xf numFmtId="3" fontId="9" fillId="4" borderId="568" xfId="0" applyNumberFormat="1" applyFont="1" applyFill="1" applyBorder="1" applyAlignment="1">
      <alignment horizontal="right"/>
    </xf>
    <xf numFmtId="3" fontId="9" fillId="4" borderId="569" xfId="0" applyNumberFormat="1" applyFont="1" applyFill="1" applyBorder="1" applyAlignment="1">
      <alignment horizontal="right"/>
    </xf>
    <xf numFmtId="3" fontId="5" fillId="0" borderId="493" xfId="59" applyNumberFormat="1" applyFont="1" applyFill="1" applyBorder="1" applyAlignment="1">
      <alignment horizontal="right"/>
      <protection/>
    </xf>
    <xf numFmtId="3" fontId="5" fillId="0" borderId="248" xfId="59" applyNumberFormat="1" applyFont="1" applyFill="1" applyBorder="1" applyAlignment="1">
      <alignment horizontal="right"/>
      <protection/>
    </xf>
    <xf numFmtId="3" fontId="22" fillId="0" borderId="493" xfId="59" applyNumberFormat="1" applyFont="1" applyFill="1" applyBorder="1" applyAlignment="1">
      <alignment horizontal="right"/>
      <protection/>
    </xf>
    <xf numFmtId="3" fontId="22" fillId="0" borderId="248" xfId="59" applyNumberFormat="1" applyFont="1" applyFill="1" applyBorder="1" applyAlignment="1">
      <alignment horizontal="right"/>
      <protection/>
    </xf>
    <xf numFmtId="3" fontId="5" fillId="0" borderId="493" xfId="0" applyNumberFormat="1" applyFont="1" applyFill="1" applyBorder="1" applyAlignment="1">
      <alignment horizontal="right"/>
    </xf>
    <xf numFmtId="3" fontId="5" fillId="0" borderId="248" xfId="0" applyNumberFormat="1" applyFont="1" applyFill="1" applyBorder="1" applyAlignment="1">
      <alignment horizontal="right"/>
    </xf>
    <xf numFmtId="3" fontId="5" fillId="0" borderId="493" xfId="56" applyNumberFormat="1" applyFont="1" applyFill="1" applyBorder="1" applyAlignment="1">
      <alignment horizontal="right"/>
      <protection/>
    </xf>
    <xf numFmtId="3" fontId="5" fillId="0" borderId="248" xfId="56" applyNumberFormat="1" applyFont="1" applyFill="1" applyBorder="1" applyAlignment="1">
      <alignment horizontal="right"/>
      <protection/>
    </xf>
    <xf numFmtId="3" fontId="9" fillId="23" borderId="487" xfId="0" applyNumberFormat="1" applyFont="1" applyFill="1" applyBorder="1" applyAlignment="1">
      <alignment horizontal="right"/>
    </xf>
    <xf numFmtId="3" fontId="9" fillId="23" borderId="245" xfId="0" applyNumberFormat="1" applyFont="1" applyFill="1" applyBorder="1" applyAlignment="1">
      <alignment horizontal="right"/>
    </xf>
    <xf numFmtId="3" fontId="5" fillId="0" borderId="572" xfId="0" applyNumberFormat="1" applyFont="1" applyFill="1" applyBorder="1" applyAlignment="1">
      <alignment/>
    </xf>
    <xf numFmtId="3" fontId="8" fillId="20" borderId="573" xfId="0" applyNumberFormat="1" applyFont="1" applyFill="1" applyBorder="1" applyAlignment="1">
      <alignment/>
    </xf>
    <xf numFmtId="3" fontId="9" fillId="23" borderId="559" xfId="0" applyNumberFormat="1" applyFont="1" applyFill="1" applyBorder="1" applyAlignment="1">
      <alignment/>
    </xf>
    <xf numFmtId="3" fontId="9" fillId="4" borderId="559" xfId="0" applyNumberFormat="1" applyFont="1" applyFill="1" applyBorder="1" applyAlignment="1">
      <alignment/>
    </xf>
    <xf numFmtId="3" fontId="5" fillId="0" borderId="96" xfId="0" applyNumberFormat="1" applyFont="1" applyBorder="1" applyAlignment="1">
      <alignment/>
    </xf>
    <xf numFmtId="3" fontId="5" fillId="0" borderId="19" xfId="58" applyNumberFormat="1" applyFont="1" applyFill="1" applyBorder="1" applyAlignment="1">
      <alignment/>
      <protection/>
    </xf>
    <xf numFmtId="3" fontId="22" fillId="0" borderId="19" xfId="56" applyNumberFormat="1" applyFont="1" applyFill="1" applyBorder="1" applyAlignment="1">
      <alignment/>
      <protection/>
    </xf>
    <xf numFmtId="3" fontId="5" fillId="0" borderId="19" xfId="0" applyNumberFormat="1" applyFont="1" applyBorder="1" applyAlignment="1">
      <alignment/>
    </xf>
    <xf numFmtId="3" fontId="5" fillId="0" borderId="293" xfId="56" applyNumberFormat="1" applyFont="1" applyFill="1" applyBorder="1" applyAlignment="1">
      <alignment/>
      <protection/>
    </xf>
    <xf numFmtId="3" fontId="6" fillId="0" borderId="352" xfId="56" applyNumberFormat="1" applyFont="1" applyFill="1" applyBorder="1" applyAlignment="1">
      <alignment/>
      <protection/>
    </xf>
    <xf numFmtId="3" fontId="9" fillId="0" borderId="376" xfId="56" applyNumberFormat="1" applyFont="1" applyFill="1" applyBorder="1" applyAlignment="1">
      <alignment/>
      <protection/>
    </xf>
    <xf numFmtId="3" fontId="6" fillId="0" borderId="128" xfId="56" applyNumberFormat="1" applyFont="1" applyFill="1" applyBorder="1" applyAlignment="1">
      <alignment/>
      <protection/>
    </xf>
    <xf numFmtId="3" fontId="8" fillId="20" borderId="574" xfId="0" applyNumberFormat="1" applyFont="1" applyFill="1" applyBorder="1" applyAlignment="1">
      <alignment horizontal="right"/>
    </xf>
    <xf numFmtId="3" fontId="8" fillId="20" borderId="575" xfId="0" applyNumberFormat="1" applyFont="1" applyFill="1" applyBorder="1" applyAlignment="1">
      <alignment horizontal="right"/>
    </xf>
    <xf numFmtId="3" fontId="5" fillId="0" borderId="67" xfId="56" applyNumberFormat="1" applyFont="1" applyFill="1" applyBorder="1" applyAlignment="1">
      <alignment/>
      <protection/>
    </xf>
    <xf numFmtId="3" fontId="5" fillId="0" borderId="242" xfId="56" applyNumberFormat="1" applyFont="1" applyFill="1" applyBorder="1" applyAlignment="1">
      <alignment/>
      <protection/>
    </xf>
    <xf numFmtId="3" fontId="22" fillId="0" borderId="65" xfId="0" applyNumberFormat="1" applyFont="1" applyFill="1" applyBorder="1" applyAlignment="1">
      <alignment/>
    </xf>
    <xf numFmtId="3" fontId="22" fillId="0" borderId="57" xfId="0" applyNumberFormat="1" applyFont="1" applyFill="1" applyBorder="1" applyAlignment="1">
      <alignment/>
    </xf>
    <xf numFmtId="3" fontId="5" fillId="0" borderId="58" xfId="0" applyNumberFormat="1" applyFont="1" applyFill="1" applyBorder="1" applyAlignment="1">
      <alignment/>
    </xf>
    <xf numFmtId="3" fontId="5" fillId="0" borderId="266" xfId="56" applyNumberFormat="1" applyFont="1" applyFill="1" applyBorder="1" applyAlignment="1">
      <alignment/>
      <protection/>
    </xf>
    <xf numFmtId="3" fontId="9" fillId="4" borderId="562" xfId="0" applyNumberFormat="1" applyFont="1" applyFill="1" applyBorder="1" applyAlignment="1">
      <alignment/>
    </xf>
    <xf numFmtId="3" fontId="9" fillId="4" borderId="563" xfId="0" applyNumberFormat="1" applyFont="1" applyFill="1" applyBorder="1" applyAlignment="1">
      <alignment/>
    </xf>
    <xf numFmtId="3" fontId="6" fillId="0" borderId="66" xfId="0" applyNumberFormat="1" applyFont="1" applyFill="1" applyBorder="1" applyAlignment="1">
      <alignment/>
    </xf>
    <xf numFmtId="3" fontId="9" fillId="0" borderId="576" xfId="56" applyNumberFormat="1" applyFont="1" applyFill="1" applyBorder="1">
      <alignment/>
      <protection/>
    </xf>
    <xf numFmtId="3" fontId="9" fillId="0" borderId="65" xfId="56" applyNumberFormat="1" applyFont="1" applyFill="1" applyBorder="1" applyAlignment="1">
      <alignment/>
      <protection/>
    </xf>
    <xf numFmtId="3" fontId="6" fillId="0" borderId="219" xfId="0" applyNumberFormat="1" applyFont="1" applyFill="1" applyBorder="1" applyAlignment="1">
      <alignment/>
    </xf>
    <xf numFmtId="3" fontId="9" fillId="0" borderId="577" xfId="56" applyNumberFormat="1" applyFont="1" applyFill="1" applyBorder="1">
      <alignment/>
      <protection/>
    </xf>
    <xf numFmtId="3" fontId="9" fillId="0" borderId="209" xfId="56" applyNumberFormat="1" applyFont="1" applyFill="1" applyBorder="1" applyAlignment="1">
      <alignment/>
      <protection/>
    </xf>
    <xf numFmtId="3" fontId="8" fillId="20" borderId="578" xfId="0" applyNumberFormat="1" applyFont="1" applyFill="1" applyBorder="1" applyAlignment="1">
      <alignment horizontal="right"/>
    </xf>
    <xf numFmtId="3" fontId="5" fillId="0" borderId="221" xfId="0" applyNumberFormat="1" applyFont="1" applyBorder="1" applyAlignment="1">
      <alignment/>
    </xf>
    <xf numFmtId="3" fontId="5" fillId="0" borderId="222" xfId="58" applyNumberFormat="1" applyFont="1" applyFill="1" applyBorder="1" applyAlignment="1">
      <alignment horizontal="right"/>
      <protection/>
    </xf>
    <xf numFmtId="3" fontId="5" fillId="0" borderId="221" xfId="56" applyNumberFormat="1" applyFont="1" applyFill="1" applyBorder="1" applyAlignment="1">
      <alignment/>
      <protection/>
    </xf>
    <xf numFmtId="3" fontId="22" fillId="0" borderId="222" xfId="0" applyNumberFormat="1" applyFont="1" applyFill="1" applyBorder="1" applyAlignment="1">
      <alignment/>
    </xf>
    <xf numFmtId="3" fontId="5" fillId="0" borderId="222" xfId="56" applyNumberFormat="1" applyFont="1" applyFill="1" applyBorder="1" applyAlignment="1">
      <alignment/>
      <protection/>
    </xf>
    <xf numFmtId="3" fontId="5" fillId="0" borderId="222" xfId="0" applyNumberFormat="1" applyFont="1" applyBorder="1" applyAlignment="1">
      <alignment/>
    </xf>
    <xf numFmtId="3" fontId="5" fillId="0" borderId="223" xfId="0" applyNumberFormat="1" applyFont="1" applyFill="1" applyBorder="1" applyAlignment="1">
      <alignment/>
    </xf>
    <xf numFmtId="3" fontId="9" fillId="4" borderId="567" xfId="0" applyNumberFormat="1" applyFont="1" applyFill="1" applyBorder="1" applyAlignment="1">
      <alignment/>
    </xf>
    <xf numFmtId="3" fontId="6" fillId="0" borderId="515" xfId="0" applyNumberFormat="1" applyFont="1" applyFill="1" applyBorder="1" applyAlignment="1">
      <alignment/>
    </xf>
    <xf numFmtId="3" fontId="6" fillId="0" borderId="347" xfId="0" applyNumberFormat="1" applyFont="1" applyFill="1" applyBorder="1" applyAlignment="1">
      <alignment/>
    </xf>
    <xf numFmtId="3" fontId="9" fillId="0" borderId="579" xfId="56" applyNumberFormat="1" applyFont="1" applyFill="1" applyBorder="1">
      <alignment/>
      <protection/>
    </xf>
    <xf numFmtId="3" fontId="9" fillId="0" borderId="580" xfId="56" applyNumberFormat="1" applyFont="1" applyFill="1" applyBorder="1">
      <alignment/>
      <protection/>
    </xf>
    <xf numFmtId="3" fontId="6" fillId="0" borderId="514" xfId="0" applyNumberFormat="1" applyFont="1" applyFill="1" applyBorder="1" applyAlignment="1">
      <alignment/>
    </xf>
    <xf numFmtId="3" fontId="9" fillId="0" borderId="514" xfId="56" applyNumberFormat="1" applyFont="1" applyFill="1" applyBorder="1" applyAlignment="1">
      <alignment/>
      <protection/>
    </xf>
    <xf numFmtId="3" fontId="9" fillId="0" borderId="88" xfId="56" applyNumberFormat="1" applyFont="1" applyFill="1" applyBorder="1" applyAlignment="1">
      <alignment/>
      <protection/>
    </xf>
    <xf numFmtId="3" fontId="5" fillId="0" borderId="514" xfId="0" applyNumberFormat="1" applyFont="1" applyFill="1" applyBorder="1" applyAlignment="1">
      <alignment/>
    </xf>
    <xf numFmtId="3" fontId="5" fillId="0" borderId="88" xfId="0" applyNumberFormat="1" applyFont="1" applyFill="1" applyBorder="1" applyAlignment="1">
      <alignment/>
    </xf>
    <xf numFmtId="3" fontId="6" fillId="0" borderId="581" xfId="0" applyNumberFormat="1" applyFont="1" applyFill="1" applyBorder="1" applyAlignment="1">
      <alignment/>
    </xf>
    <xf numFmtId="3" fontId="6" fillId="0" borderId="582" xfId="0" applyNumberFormat="1" applyFont="1" applyFill="1" applyBorder="1" applyAlignment="1">
      <alignment/>
    </xf>
    <xf numFmtId="3" fontId="8" fillId="20" borderId="583" xfId="0" applyNumberFormat="1" applyFont="1" applyFill="1" applyBorder="1" applyAlignment="1">
      <alignment horizontal="right"/>
    </xf>
    <xf numFmtId="3" fontId="9" fillId="23" borderId="584" xfId="0" applyNumberFormat="1" applyFont="1" applyFill="1" applyBorder="1" applyAlignment="1">
      <alignment horizontal="right"/>
    </xf>
    <xf numFmtId="3" fontId="9" fillId="4" borderId="584" xfId="0" applyNumberFormat="1" applyFont="1" applyFill="1" applyBorder="1" applyAlignment="1">
      <alignment horizontal="right"/>
    </xf>
    <xf numFmtId="3" fontId="5" fillId="0" borderId="85" xfId="0" applyNumberFormat="1" applyFont="1" applyBorder="1" applyAlignment="1">
      <alignment/>
    </xf>
    <xf numFmtId="3" fontId="5" fillId="0" borderId="122" xfId="58" applyNumberFormat="1" applyFont="1" applyFill="1" applyBorder="1" applyAlignment="1">
      <alignment horizontal="right"/>
      <protection/>
    </xf>
    <xf numFmtId="3" fontId="5" fillId="0" borderId="85" xfId="56" applyNumberFormat="1" applyFont="1" applyFill="1" applyBorder="1" applyAlignment="1">
      <alignment/>
      <protection/>
    </xf>
    <xf numFmtId="3" fontId="22" fillId="0" borderId="122" xfId="0" applyNumberFormat="1" applyFont="1" applyFill="1" applyBorder="1" applyAlignment="1">
      <alignment/>
    </xf>
    <xf numFmtId="3" fontId="5" fillId="0" borderId="122" xfId="56" applyNumberFormat="1" applyFont="1" applyFill="1" applyBorder="1" applyAlignment="1">
      <alignment/>
      <protection/>
    </xf>
    <xf numFmtId="3" fontId="5" fillId="0" borderId="122" xfId="0" applyNumberFormat="1" applyFont="1" applyBorder="1" applyAlignment="1">
      <alignment/>
    </xf>
    <xf numFmtId="3" fontId="5" fillId="0" borderId="294" xfId="0" applyNumberFormat="1" applyFont="1" applyFill="1" applyBorder="1" applyAlignment="1">
      <alignment/>
    </xf>
    <xf numFmtId="3" fontId="9" fillId="4" borderId="584" xfId="0" applyNumberFormat="1" applyFont="1" applyFill="1" applyBorder="1" applyAlignment="1">
      <alignment/>
    </xf>
    <xf numFmtId="3" fontId="9" fillId="23" borderId="139" xfId="58" applyNumberFormat="1" applyFont="1" applyFill="1" applyBorder="1" applyAlignment="1">
      <alignment/>
      <protection/>
    </xf>
    <xf numFmtId="3" fontId="5" fillId="0" borderId="24" xfId="58" applyNumberFormat="1" applyFont="1" applyFill="1" applyBorder="1" applyAlignment="1">
      <alignment/>
      <protection/>
    </xf>
    <xf numFmtId="3" fontId="5" fillId="0" borderId="398" xfId="58" applyNumberFormat="1" applyFont="1" applyFill="1" applyBorder="1" applyAlignment="1">
      <alignment/>
      <protection/>
    </xf>
    <xf numFmtId="3" fontId="5" fillId="0" borderId="47" xfId="58" applyNumberFormat="1" applyFont="1" applyFill="1" applyBorder="1" applyAlignment="1">
      <alignment/>
      <protection/>
    </xf>
    <xf numFmtId="3" fontId="5" fillId="0" borderId="556" xfId="0" applyNumberFormat="1" applyFont="1" applyFill="1" applyBorder="1" applyAlignment="1">
      <alignment/>
    </xf>
    <xf numFmtId="3" fontId="5" fillId="0" borderId="65" xfId="58" applyNumberFormat="1" applyFont="1" applyFill="1" applyBorder="1" applyAlignment="1">
      <alignment/>
      <protection/>
    </xf>
    <xf numFmtId="3" fontId="9" fillId="23" borderId="55" xfId="58" applyNumberFormat="1" applyFont="1" applyFill="1" applyBorder="1" applyAlignment="1">
      <alignment/>
      <protection/>
    </xf>
    <xf numFmtId="3" fontId="5" fillId="0" borderId="68" xfId="56" applyNumberFormat="1" applyFont="1" applyFill="1" applyBorder="1">
      <alignment/>
      <protection/>
    </xf>
    <xf numFmtId="3" fontId="9" fillId="0" borderId="204" xfId="0" applyNumberFormat="1" applyFont="1" applyFill="1" applyBorder="1" applyAlignment="1">
      <alignment horizontal="center" vertical="center" wrapText="1"/>
    </xf>
    <xf numFmtId="3" fontId="5" fillId="0" borderId="19" xfId="61" applyNumberFormat="1" applyFont="1" applyFill="1" applyBorder="1" applyAlignment="1">
      <alignment/>
      <protection/>
    </xf>
    <xf numFmtId="3" fontId="5" fillId="0" borderId="352" xfId="61" applyNumberFormat="1" applyFont="1" applyFill="1" applyBorder="1" applyAlignment="1">
      <alignment/>
      <protection/>
    </xf>
    <xf numFmtId="3" fontId="5" fillId="0" borderId="47" xfId="60" applyNumberFormat="1" applyFont="1" applyFill="1" applyBorder="1" applyAlignment="1">
      <alignment/>
      <protection/>
    </xf>
    <xf numFmtId="3" fontId="5" fillId="22" borderId="172" xfId="58" applyNumberFormat="1" applyFont="1" applyFill="1" applyBorder="1" applyAlignment="1">
      <alignment horizontal="right"/>
      <protection/>
    </xf>
    <xf numFmtId="3" fontId="5" fillId="22" borderId="159" xfId="58" applyNumberFormat="1" applyFont="1" applyFill="1" applyBorder="1" applyAlignment="1">
      <alignment horizontal="right"/>
      <protection/>
    </xf>
    <xf numFmtId="3" fontId="5" fillId="0" borderId="66" xfId="58" applyNumberFormat="1" applyFont="1" applyFill="1" applyBorder="1" applyAlignment="1">
      <alignment horizontal="right"/>
      <protection/>
    </xf>
    <xf numFmtId="3" fontId="5" fillId="0" borderId="108" xfId="58" applyNumberFormat="1" applyFont="1" applyFill="1" applyBorder="1" applyAlignment="1">
      <alignment horizontal="right"/>
      <protection/>
    </xf>
    <xf numFmtId="3" fontId="5" fillId="0" borderId="71" xfId="58" applyNumberFormat="1" applyFont="1" applyFill="1" applyBorder="1" applyAlignment="1">
      <alignment horizontal="right"/>
      <protection/>
    </xf>
    <xf numFmtId="3" fontId="5" fillId="0" borderId="68" xfId="58" applyNumberFormat="1" applyFont="1" applyFill="1" applyBorder="1" applyAlignment="1">
      <alignment horizontal="right"/>
      <protection/>
    </xf>
    <xf numFmtId="3" fontId="5" fillId="0" borderId="225" xfId="58" applyNumberFormat="1" applyFont="1" applyFill="1" applyBorder="1" applyAlignment="1">
      <alignment horizontal="right"/>
      <protection/>
    </xf>
    <xf numFmtId="0" fontId="5" fillId="0" borderId="553" xfId="0" applyFont="1" applyFill="1" applyBorder="1" applyAlignment="1">
      <alignment/>
    </xf>
    <xf numFmtId="0" fontId="5" fillId="0" borderId="554" xfId="0" applyFont="1" applyFill="1" applyBorder="1" applyAlignment="1">
      <alignment/>
    </xf>
    <xf numFmtId="3" fontId="5" fillId="0" borderId="249" xfId="58" applyNumberFormat="1" applyFont="1" applyFill="1" applyBorder="1" applyAlignment="1">
      <alignment horizontal="right"/>
      <protection/>
    </xf>
    <xf numFmtId="3" fontId="5" fillId="0" borderId="24" xfId="58" applyNumberFormat="1" applyFont="1" applyFill="1" applyBorder="1" applyAlignment="1">
      <alignment horizontal="right"/>
      <protection/>
    </xf>
    <xf numFmtId="3" fontId="5" fillId="0" borderId="96" xfId="58" applyNumberFormat="1" applyFont="1" applyFill="1" applyBorder="1" applyAlignment="1">
      <alignment horizontal="right"/>
      <protection/>
    </xf>
    <xf numFmtId="3" fontId="5" fillId="0" borderId="47" xfId="58" applyNumberFormat="1" applyFont="1" applyFill="1" applyBorder="1" applyAlignment="1">
      <alignment horizontal="right"/>
      <protection/>
    </xf>
    <xf numFmtId="3" fontId="5" fillId="22" borderId="159" xfId="56" applyNumberFormat="1" applyFont="1" applyFill="1" applyBorder="1">
      <alignment/>
      <protection/>
    </xf>
    <xf numFmtId="3" fontId="8" fillId="20" borderId="506" xfId="0" applyNumberFormat="1" applyFont="1" applyFill="1" applyBorder="1" applyAlignment="1">
      <alignment horizontal="right"/>
    </xf>
    <xf numFmtId="3" fontId="8" fillId="20" borderId="478" xfId="0" applyNumberFormat="1" applyFont="1" applyFill="1" applyBorder="1" applyAlignment="1">
      <alignment horizontal="right"/>
    </xf>
    <xf numFmtId="3" fontId="9" fillId="4" borderId="507" xfId="0" applyNumberFormat="1" applyFont="1" applyFill="1" applyBorder="1" applyAlignment="1">
      <alignment horizontal="right"/>
    </xf>
    <xf numFmtId="3" fontId="9" fillId="4" borderId="477" xfId="0" applyNumberFormat="1" applyFont="1" applyFill="1" applyBorder="1" applyAlignment="1">
      <alignment horizontal="right"/>
    </xf>
    <xf numFmtId="3" fontId="5" fillId="0" borderId="585" xfId="56" applyNumberFormat="1" applyFont="1" applyFill="1" applyBorder="1">
      <alignment/>
      <protection/>
    </xf>
    <xf numFmtId="3" fontId="5" fillId="0" borderId="499" xfId="56" applyNumberFormat="1" applyFont="1" applyFill="1" applyBorder="1">
      <alignment/>
      <protection/>
    </xf>
    <xf numFmtId="3" fontId="5" fillId="0" borderId="586" xfId="56" applyNumberFormat="1" applyFont="1" applyFill="1" applyBorder="1">
      <alignment/>
      <protection/>
    </xf>
    <xf numFmtId="3" fontId="5" fillId="0" borderId="587" xfId="56" applyNumberFormat="1" applyFont="1" applyFill="1" applyBorder="1">
      <alignment/>
      <protection/>
    </xf>
    <xf numFmtId="3" fontId="5" fillId="0" borderId="588" xfId="56" applyNumberFormat="1" applyFont="1" applyFill="1" applyBorder="1">
      <alignment/>
      <protection/>
    </xf>
    <xf numFmtId="3" fontId="9" fillId="4" borderId="507" xfId="58" applyNumberFormat="1" applyFont="1" applyFill="1" applyBorder="1" applyAlignment="1">
      <alignment horizontal="right"/>
      <protection/>
    </xf>
    <xf numFmtId="3" fontId="9" fillId="4" borderId="477" xfId="58" applyNumberFormat="1" applyFont="1" applyFill="1" applyBorder="1" applyAlignment="1">
      <alignment horizontal="right"/>
      <protection/>
    </xf>
    <xf numFmtId="3" fontId="5" fillId="0" borderId="589" xfId="56" applyNumberFormat="1" applyFont="1" applyFill="1" applyBorder="1">
      <alignment/>
      <protection/>
    </xf>
    <xf numFmtId="3" fontId="5" fillId="0" borderId="310" xfId="56" applyNumberFormat="1" applyFont="1" applyFill="1" applyBorder="1">
      <alignment/>
      <protection/>
    </xf>
    <xf numFmtId="3" fontId="5" fillId="0" borderId="302" xfId="60" applyNumberFormat="1" applyFont="1" applyFill="1" applyBorder="1" applyAlignment="1">
      <alignment horizontal="right"/>
      <protection/>
    </xf>
    <xf numFmtId="3" fontId="6" fillId="0" borderId="366" xfId="60" applyNumberFormat="1" applyFont="1" applyFill="1" applyBorder="1" applyAlignment="1">
      <alignment horizontal="right"/>
      <protection/>
    </xf>
    <xf numFmtId="3" fontId="28" fillId="0" borderId="590" xfId="58" applyNumberFormat="1" applyFont="1" applyFill="1" applyBorder="1" applyAlignment="1">
      <alignment horizontal="right"/>
      <protection/>
    </xf>
    <xf numFmtId="3" fontId="28" fillId="0" borderId="591" xfId="58" applyNumberFormat="1" applyFont="1" applyFill="1" applyBorder="1" applyAlignment="1">
      <alignment horizontal="right"/>
      <protection/>
    </xf>
    <xf numFmtId="3" fontId="5" fillId="0" borderId="300" xfId="58" applyNumberFormat="1" applyFont="1" applyFill="1" applyBorder="1" applyAlignment="1">
      <alignment horizontal="right"/>
      <protection/>
    </xf>
    <xf numFmtId="3" fontId="5" fillId="0" borderId="500" xfId="58" applyNumberFormat="1" applyFont="1" applyFill="1" applyBorder="1" applyAlignment="1">
      <alignment horizontal="right"/>
      <protection/>
    </xf>
    <xf numFmtId="3" fontId="6" fillId="0" borderId="300" xfId="58" applyNumberFormat="1" applyFont="1" applyFill="1" applyBorder="1" applyAlignment="1">
      <alignment horizontal="right"/>
      <protection/>
    </xf>
    <xf numFmtId="3" fontId="6" fillId="0" borderId="500" xfId="58" applyNumberFormat="1" applyFont="1" applyFill="1" applyBorder="1" applyAlignment="1">
      <alignment horizontal="right"/>
      <protection/>
    </xf>
    <xf numFmtId="3" fontId="12" fillId="0" borderId="592" xfId="58" applyNumberFormat="1" applyFont="1" applyFill="1" applyBorder="1" applyAlignment="1">
      <alignment horizontal="right"/>
      <protection/>
    </xf>
    <xf numFmtId="3" fontId="12" fillId="0" borderId="593" xfId="58" applyNumberFormat="1" applyFont="1" applyFill="1" applyBorder="1" applyAlignment="1">
      <alignment horizontal="right"/>
      <protection/>
    </xf>
    <xf numFmtId="3" fontId="6" fillId="0" borderId="506" xfId="58" applyNumberFormat="1" applyFont="1" applyFill="1" applyBorder="1" applyAlignment="1">
      <alignment horizontal="right"/>
      <protection/>
    </xf>
    <xf numFmtId="3" fontId="6" fillId="0" borderId="478" xfId="58" applyNumberFormat="1" applyFont="1" applyFill="1" applyBorder="1" applyAlignment="1">
      <alignment horizontal="right"/>
      <protection/>
    </xf>
    <xf numFmtId="3" fontId="9" fillId="0" borderId="585" xfId="0" applyNumberFormat="1" applyFont="1" applyFill="1" applyBorder="1" applyAlignment="1">
      <alignment/>
    </xf>
    <xf numFmtId="3" fontId="9" fillId="0" borderId="499" xfId="0" applyNumberFormat="1" applyFont="1" applyFill="1" applyBorder="1" applyAlignment="1">
      <alignment/>
    </xf>
    <xf numFmtId="3" fontId="5" fillId="0" borderId="588" xfId="57" applyNumberFormat="1" applyFont="1" applyFill="1" applyBorder="1" applyAlignment="1">
      <alignment horizontal="right"/>
      <protection/>
    </xf>
    <xf numFmtId="3" fontId="5" fillId="0" borderId="309" xfId="57" applyNumberFormat="1" applyFont="1" applyFill="1" applyBorder="1" applyAlignment="1">
      <alignment horizontal="right"/>
      <protection/>
    </xf>
    <xf numFmtId="3" fontId="6" fillId="0" borderId="589" xfId="57" applyNumberFormat="1" applyFont="1" applyFill="1" applyBorder="1" applyAlignment="1">
      <alignment horizontal="right"/>
      <protection/>
    </xf>
    <xf numFmtId="3" fontId="6" fillId="0" borderId="310" xfId="57" applyNumberFormat="1" applyFont="1" applyFill="1" applyBorder="1" applyAlignment="1">
      <alignment horizontal="right"/>
      <protection/>
    </xf>
    <xf numFmtId="3" fontId="5" fillId="0" borderId="221" xfId="56" applyNumberFormat="1" applyFont="1" applyFill="1" applyBorder="1">
      <alignment/>
      <protection/>
    </xf>
    <xf numFmtId="3" fontId="5" fillId="0" borderId="225" xfId="56" applyNumberFormat="1" applyFont="1" applyFill="1" applyBorder="1">
      <alignment/>
      <protection/>
    </xf>
    <xf numFmtId="3" fontId="5" fillId="0" borderId="222" xfId="57" applyNumberFormat="1" applyFont="1" applyFill="1" applyBorder="1" applyAlignment="1">
      <alignment horizontal="right"/>
      <protection/>
    </xf>
    <xf numFmtId="3" fontId="6" fillId="0" borderId="225" xfId="57" applyNumberFormat="1" applyFont="1" applyFill="1" applyBorder="1" applyAlignment="1">
      <alignment horizontal="right"/>
      <protection/>
    </xf>
    <xf numFmtId="3" fontId="5" fillId="0" borderId="91" xfId="56" applyNumberFormat="1" applyFont="1" applyFill="1" applyBorder="1">
      <alignment/>
      <protection/>
    </xf>
    <xf numFmtId="3" fontId="5" fillId="0" borderId="85" xfId="56" applyNumberFormat="1" applyFont="1" applyFill="1" applyBorder="1">
      <alignment/>
      <protection/>
    </xf>
    <xf numFmtId="3" fontId="5" fillId="0" borderId="286" xfId="56" applyNumberFormat="1" applyFont="1" applyFill="1" applyBorder="1">
      <alignment/>
      <protection/>
    </xf>
    <xf numFmtId="3" fontId="5" fillId="0" borderId="365" xfId="60" applyNumberFormat="1" applyFont="1" applyFill="1" applyBorder="1" applyAlignment="1">
      <alignment horizontal="right"/>
      <protection/>
    </xf>
    <xf numFmtId="3" fontId="5" fillId="0" borderId="368" xfId="60" applyNumberFormat="1" applyFont="1" applyFill="1" applyBorder="1" applyAlignment="1">
      <alignment horizontal="right"/>
      <protection/>
    </xf>
    <xf numFmtId="3" fontId="5" fillId="0" borderId="364" xfId="60" applyNumberFormat="1" applyFont="1" applyFill="1" applyBorder="1" applyAlignment="1">
      <alignment horizontal="right"/>
      <protection/>
    </xf>
    <xf numFmtId="3" fontId="5" fillId="0" borderId="366" xfId="56" applyNumberFormat="1" applyFont="1" applyFill="1" applyBorder="1" applyAlignment="1">
      <alignment horizontal="right"/>
      <protection/>
    </xf>
    <xf numFmtId="3" fontId="5" fillId="22" borderId="144" xfId="57" applyNumberFormat="1" applyFont="1" applyFill="1" applyBorder="1" applyAlignment="1">
      <alignment horizontal="right"/>
      <protection/>
    </xf>
    <xf numFmtId="3" fontId="5" fillId="22" borderId="165" xfId="57" applyNumberFormat="1" applyFont="1" applyFill="1" applyBorder="1" applyAlignment="1">
      <alignment horizontal="right"/>
      <protection/>
    </xf>
    <xf numFmtId="0" fontId="5" fillId="22" borderId="135" xfId="0" applyFont="1" applyFill="1" applyBorder="1" applyAlignment="1">
      <alignment/>
    </xf>
    <xf numFmtId="3" fontId="5" fillId="22" borderId="159" xfId="0" applyNumberFormat="1" applyFont="1" applyFill="1" applyBorder="1" applyAlignment="1">
      <alignment/>
    </xf>
    <xf numFmtId="3" fontId="5" fillId="0" borderId="585" xfId="0" applyNumberFormat="1" applyFont="1" applyFill="1" applyBorder="1" applyAlignment="1">
      <alignment/>
    </xf>
    <xf numFmtId="0" fontId="5" fillId="0" borderId="588" xfId="0" applyFont="1" applyFill="1" applyBorder="1" applyAlignment="1">
      <alignment/>
    </xf>
    <xf numFmtId="0" fontId="5" fillId="0" borderId="309" xfId="0" applyFont="1" applyFill="1" applyBorder="1" applyAlignment="1">
      <alignment/>
    </xf>
    <xf numFmtId="0" fontId="5" fillId="0" borderId="300" xfId="0" applyFont="1" applyFill="1" applyBorder="1" applyAlignment="1">
      <alignment/>
    </xf>
    <xf numFmtId="3" fontId="5" fillId="8" borderId="585" xfId="57" applyNumberFormat="1" applyFont="1" applyFill="1" applyBorder="1" applyAlignment="1">
      <alignment horizontal="right"/>
      <protection/>
    </xf>
    <xf numFmtId="3" fontId="5" fillId="8" borderId="499" xfId="57" applyNumberFormat="1" applyFont="1" applyFill="1" applyBorder="1" applyAlignment="1">
      <alignment horizontal="right"/>
      <protection/>
    </xf>
    <xf numFmtId="3" fontId="5" fillId="0" borderId="586" xfId="57" applyNumberFormat="1" applyFont="1" applyFill="1" applyBorder="1" applyAlignment="1">
      <alignment horizontal="right"/>
      <protection/>
    </xf>
    <xf numFmtId="3" fontId="5" fillId="0" borderId="587" xfId="57" applyNumberFormat="1" applyFont="1" applyFill="1" applyBorder="1" applyAlignment="1">
      <alignment horizontal="right"/>
      <protection/>
    </xf>
    <xf numFmtId="3" fontId="5" fillId="0" borderId="588" xfId="0" applyNumberFormat="1" applyFont="1" applyFill="1" applyBorder="1" applyAlignment="1">
      <alignment/>
    </xf>
    <xf numFmtId="3" fontId="5" fillId="0" borderId="309" xfId="0" applyNumberFormat="1" applyFont="1" applyFill="1" applyBorder="1" applyAlignment="1">
      <alignment/>
    </xf>
    <xf numFmtId="3" fontId="5" fillId="0" borderId="589" xfId="0" applyNumberFormat="1" applyFont="1" applyFill="1" applyBorder="1" applyAlignment="1">
      <alignment/>
    </xf>
    <xf numFmtId="3" fontId="5" fillId="0" borderId="310" xfId="0" applyNumberFormat="1" applyFont="1" applyFill="1" applyBorder="1" applyAlignment="1">
      <alignment/>
    </xf>
    <xf numFmtId="3" fontId="9" fillId="0" borderId="585" xfId="0" applyNumberFormat="1" applyFont="1" applyFill="1" applyBorder="1" applyAlignment="1">
      <alignment horizontal="right"/>
    </xf>
    <xf numFmtId="3" fontId="9" fillId="0" borderId="499" xfId="0" applyNumberFormat="1" applyFont="1" applyFill="1" applyBorder="1" applyAlignment="1">
      <alignment horizontal="right"/>
    </xf>
    <xf numFmtId="3" fontId="5" fillId="24" borderId="223" xfId="0" applyNumberFormat="1" applyFont="1" applyFill="1" applyBorder="1" applyAlignment="1">
      <alignment/>
    </xf>
    <xf numFmtId="3" fontId="5" fillId="24" borderId="224" xfId="57" applyNumberFormat="1" applyFont="1" applyFill="1" applyBorder="1" applyAlignment="1">
      <alignment horizontal="right"/>
      <protection/>
    </xf>
    <xf numFmtId="3" fontId="5" fillId="0" borderId="221" xfId="57" applyNumberFormat="1" applyFont="1" applyFill="1" applyBorder="1" applyAlignment="1">
      <alignment horizontal="right"/>
      <protection/>
    </xf>
    <xf numFmtId="3" fontId="5" fillId="0" borderId="225" xfId="0" applyNumberFormat="1" applyFont="1" applyFill="1" applyBorder="1" applyAlignment="1">
      <alignment/>
    </xf>
    <xf numFmtId="3" fontId="5" fillId="24" borderId="122" xfId="0" applyNumberFormat="1" applyFont="1" applyFill="1" applyBorder="1" applyAlignment="1">
      <alignment/>
    </xf>
    <xf numFmtId="3" fontId="5" fillId="24" borderId="294" xfId="0" applyNumberFormat="1" applyFont="1" applyFill="1" applyBorder="1" applyAlignment="1">
      <alignment/>
    </xf>
    <xf numFmtId="3" fontId="5" fillId="24" borderId="91" xfId="57" applyNumberFormat="1" applyFont="1" applyFill="1" applyBorder="1" applyAlignment="1">
      <alignment horizontal="right"/>
      <protection/>
    </xf>
    <xf numFmtId="0" fontId="5" fillId="0" borderId="122" xfId="0" applyFont="1" applyFill="1" applyBorder="1" applyAlignment="1">
      <alignment/>
    </xf>
    <xf numFmtId="3" fontId="5" fillId="0" borderId="19" xfId="60" applyNumberFormat="1" applyFont="1" applyFill="1" applyBorder="1" applyAlignment="1">
      <alignment horizontal="right"/>
      <protection/>
    </xf>
    <xf numFmtId="3" fontId="5" fillId="25" borderId="19" xfId="60" applyNumberFormat="1" applyFont="1" applyFill="1" applyBorder="1" applyAlignment="1">
      <alignment horizontal="right"/>
      <protection/>
    </xf>
    <xf numFmtId="3" fontId="5" fillId="0" borderId="19" xfId="60" applyNumberFormat="1" applyFont="1" applyFill="1" applyBorder="1" applyAlignment="1">
      <alignment horizontal="right" wrapText="1"/>
      <protection/>
    </xf>
    <xf numFmtId="3" fontId="5" fillId="0" borderId="47" xfId="60" applyNumberFormat="1" applyFont="1" applyFill="1" applyBorder="1" applyAlignment="1">
      <alignment horizontal="right" wrapText="1"/>
      <protection/>
    </xf>
    <xf numFmtId="3" fontId="6" fillId="0" borderId="19" xfId="56" applyNumberFormat="1" applyFont="1" applyFill="1" applyBorder="1" applyAlignment="1">
      <alignment horizontal="right" indent="1"/>
      <protection/>
    </xf>
    <xf numFmtId="3" fontId="6" fillId="0" borderId="352" xfId="56" applyNumberFormat="1" applyFont="1" applyFill="1" applyBorder="1" applyAlignment="1">
      <alignment horizontal="right" indent="1"/>
      <protection/>
    </xf>
    <xf numFmtId="3" fontId="6" fillId="0" borderId="96" xfId="56" applyNumberFormat="1" applyFont="1" applyFill="1" applyBorder="1" applyAlignment="1">
      <alignment horizontal="right" indent="1"/>
      <protection/>
    </xf>
    <xf numFmtId="3" fontId="6" fillId="0" borderId="527" xfId="56" applyNumberFormat="1" applyFont="1" applyFill="1" applyBorder="1" applyAlignment="1">
      <alignment horizontal="right" indent="1"/>
      <protection/>
    </xf>
    <xf numFmtId="3" fontId="6" fillId="0" borderId="128" xfId="56" applyNumberFormat="1" applyFont="1" applyFill="1" applyBorder="1" applyAlignment="1">
      <alignment horizontal="right" indent="1"/>
      <protection/>
    </xf>
    <xf numFmtId="3" fontId="9" fillId="4" borderId="55" xfId="58" applyNumberFormat="1" applyFont="1" applyFill="1" applyBorder="1" applyAlignment="1">
      <alignment horizontal="right"/>
      <protection/>
    </xf>
    <xf numFmtId="3" fontId="9" fillId="4" borderId="150" xfId="58" applyNumberFormat="1" applyFont="1" applyFill="1" applyBorder="1" applyAlignment="1">
      <alignment horizontal="right"/>
      <protection/>
    </xf>
    <xf numFmtId="3" fontId="5" fillId="0" borderId="63" xfId="0" applyNumberFormat="1" applyFont="1" applyFill="1" applyBorder="1" applyAlignment="1">
      <alignment horizontal="right"/>
    </xf>
    <xf numFmtId="3" fontId="5" fillId="0" borderId="64" xfId="0" applyNumberFormat="1" applyFont="1" applyFill="1" applyBorder="1" applyAlignment="1">
      <alignment horizontal="right"/>
    </xf>
    <xf numFmtId="3" fontId="5" fillId="0" borderId="67" xfId="56" applyNumberFormat="1" applyFont="1" applyFill="1" applyBorder="1">
      <alignment/>
      <protection/>
    </xf>
    <xf numFmtId="3" fontId="5" fillId="0" borderId="242" xfId="56" applyNumberFormat="1" applyFont="1" applyFill="1" applyBorder="1">
      <alignment/>
      <protection/>
    </xf>
    <xf numFmtId="3" fontId="6" fillId="0" borderId="242" xfId="56" applyNumberFormat="1" applyFont="1" applyFill="1" applyBorder="1">
      <alignment/>
      <protection/>
    </xf>
    <xf numFmtId="3" fontId="5" fillId="8" borderId="65" xfId="56" applyNumberFormat="1" applyFont="1" applyFill="1" applyBorder="1">
      <alignment/>
      <protection/>
    </xf>
    <xf numFmtId="3" fontId="5" fillId="8" borderId="242" xfId="56" applyNumberFormat="1" applyFont="1" applyFill="1" applyBorder="1">
      <alignment/>
      <protection/>
    </xf>
    <xf numFmtId="3" fontId="9" fillId="0" borderId="67" xfId="60" applyNumberFormat="1" applyFont="1" applyFill="1" applyBorder="1" applyAlignment="1">
      <alignment horizontal="right"/>
      <protection/>
    </xf>
    <xf numFmtId="3" fontId="9" fillId="0" borderId="65" xfId="60" applyNumberFormat="1" applyFont="1" applyFill="1" applyBorder="1" applyAlignment="1">
      <alignment horizontal="right"/>
      <protection/>
    </xf>
    <xf numFmtId="3" fontId="6" fillId="0" borderId="67" xfId="0" applyNumberFormat="1" applyFont="1" applyFill="1" applyBorder="1" applyAlignment="1">
      <alignment/>
    </xf>
    <xf numFmtId="3" fontId="6" fillId="0" borderId="242" xfId="0" applyNumberFormat="1" applyFont="1" applyFill="1" applyBorder="1" applyAlignment="1">
      <alignment/>
    </xf>
    <xf numFmtId="3" fontId="6" fillId="0" borderId="530" xfId="0" applyNumberFormat="1" applyFont="1" applyFill="1" applyBorder="1" applyAlignment="1">
      <alignment/>
    </xf>
    <xf numFmtId="3" fontId="6" fillId="0" borderId="275" xfId="0" applyNumberFormat="1" applyFont="1" applyFill="1" applyBorder="1" applyAlignment="1">
      <alignment/>
    </xf>
    <xf numFmtId="3" fontId="5" fillId="0" borderId="352" xfId="56" applyNumberFormat="1" applyFont="1" applyFill="1" applyBorder="1">
      <alignment/>
      <protection/>
    </xf>
    <xf numFmtId="3" fontId="5" fillId="0" borderId="594" xfId="0" applyNumberFormat="1" applyFont="1" applyFill="1" applyBorder="1" applyAlignment="1">
      <alignment/>
    </xf>
    <xf numFmtId="3" fontId="5" fillId="0" borderId="595" xfId="0" applyNumberFormat="1" applyFont="1" applyFill="1" applyBorder="1" applyAlignment="1">
      <alignment/>
    </xf>
    <xf numFmtId="49" fontId="5" fillId="0" borderId="352" xfId="56" applyNumberFormat="1" applyFont="1" applyFill="1" applyBorder="1" applyAlignment="1">
      <alignment/>
      <protection/>
    </xf>
    <xf numFmtId="49" fontId="5" fillId="0" borderId="57" xfId="56" applyNumberFormat="1" applyFont="1" applyFill="1" applyBorder="1" applyAlignment="1">
      <alignment horizontal="left" indent="2"/>
      <protection/>
    </xf>
    <xf numFmtId="0" fontId="5" fillId="0" borderId="10" xfId="0" applyFont="1" applyFill="1" applyBorder="1" applyAlignment="1">
      <alignment horizontal="left" indent="2"/>
    </xf>
    <xf numFmtId="3" fontId="5" fillId="0" borderId="596" xfId="0" applyNumberFormat="1" applyFont="1" applyFill="1" applyBorder="1" applyAlignment="1">
      <alignment/>
    </xf>
    <xf numFmtId="49" fontId="5" fillId="0" borderId="16" xfId="56" applyNumberFormat="1" applyFont="1" applyFill="1" applyBorder="1" applyAlignment="1">
      <alignment horizontal="left" indent="1"/>
      <protection/>
    </xf>
    <xf numFmtId="3" fontId="5" fillId="0" borderId="18" xfId="56" applyNumberFormat="1" applyFont="1" applyFill="1" applyBorder="1" applyAlignment="1">
      <alignment/>
      <protection/>
    </xf>
    <xf numFmtId="3" fontId="5" fillId="0" borderId="108" xfId="56" applyNumberFormat="1" applyFont="1" applyFill="1" applyBorder="1" applyAlignment="1">
      <alignment/>
      <protection/>
    </xf>
    <xf numFmtId="49" fontId="5" fillId="0" borderId="69" xfId="56" applyNumberFormat="1" applyFont="1" applyFill="1" applyBorder="1" applyAlignment="1">
      <alignment horizontal="left" indent="2"/>
      <protection/>
    </xf>
    <xf numFmtId="3" fontId="5" fillId="0" borderId="297" xfId="0" applyNumberFormat="1" applyFont="1" applyFill="1" applyBorder="1" applyAlignment="1">
      <alignment horizontal="right"/>
    </xf>
    <xf numFmtId="3" fontId="5" fillId="0" borderId="398" xfId="0" applyNumberFormat="1" applyFont="1" applyFill="1" applyBorder="1" applyAlignment="1">
      <alignment horizontal="right"/>
    </xf>
    <xf numFmtId="3" fontId="5" fillId="0" borderId="597" xfId="0" applyNumberFormat="1" applyFont="1" applyFill="1" applyBorder="1" applyAlignment="1">
      <alignment/>
    </xf>
    <xf numFmtId="3" fontId="5" fillId="0" borderId="598" xfId="0" applyNumberFormat="1" applyFont="1" applyFill="1" applyBorder="1" applyAlignment="1">
      <alignment/>
    </xf>
    <xf numFmtId="3" fontId="5" fillId="0" borderId="599" xfId="0" applyNumberFormat="1" applyFont="1" applyFill="1" applyBorder="1" applyAlignment="1">
      <alignment/>
    </xf>
    <xf numFmtId="3" fontId="5" fillId="0" borderId="600" xfId="0" applyNumberFormat="1" applyFont="1" applyFill="1" applyBorder="1" applyAlignment="1">
      <alignment/>
    </xf>
    <xf numFmtId="3" fontId="5" fillId="0" borderId="601" xfId="0" applyNumberFormat="1" applyFont="1" applyFill="1" applyBorder="1" applyAlignment="1">
      <alignment/>
    </xf>
    <xf numFmtId="49" fontId="8" fillId="4" borderId="58" xfId="58" applyNumberFormat="1" applyFont="1" applyFill="1" applyBorder="1" applyAlignment="1">
      <alignment horizontal="left"/>
      <protection/>
    </xf>
    <xf numFmtId="14" fontId="8" fillId="4" borderId="138" xfId="58" applyNumberFormat="1" applyFont="1" applyFill="1" applyBorder="1" applyAlignment="1">
      <alignment horizontal="left"/>
      <protection/>
    </xf>
    <xf numFmtId="3" fontId="8" fillId="4" borderId="40" xfId="0" applyNumberFormat="1" applyFont="1" applyFill="1" applyBorder="1" applyAlignment="1">
      <alignment horizontal="right"/>
    </xf>
    <xf numFmtId="3" fontId="8" fillId="4" borderId="138" xfId="0" applyNumberFormat="1" applyFont="1" applyFill="1" applyBorder="1" applyAlignment="1">
      <alignment horizontal="right"/>
    </xf>
    <xf numFmtId="3" fontId="8" fillId="4" borderId="14" xfId="0" applyNumberFormat="1" applyFont="1" applyFill="1" applyBorder="1" applyAlignment="1">
      <alignment horizontal="right"/>
    </xf>
    <xf numFmtId="3" fontId="8" fillId="4" borderId="13" xfId="0" applyNumberFormat="1" applyFont="1" applyFill="1" applyBorder="1" applyAlignment="1">
      <alignment horizontal="right"/>
    </xf>
    <xf numFmtId="3" fontId="8" fillId="4" borderId="207" xfId="0" applyNumberFormat="1" applyFont="1" applyFill="1" applyBorder="1" applyAlignment="1">
      <alignment horizontal="right"/>
    </xf>
    <xf numFmtId="3" fontId="8" fillId="4" borderId="15" xfId="0" applyNumberFormat="1" applyFont="1" applyFill="1" applyBorder="1" applyAlignment="1">
      <alignment horizontal="right"/>
    </xf>
    <xf numFmtId="3" fontId="8" fillId="4" borderId="150" xfId="0" applyNumberFormat="1" applyFont="1" applyFill="1" applyBorder="1" applyAlignment="1">
      <alignment horizontal="right"/>
    </xf>
    <xf numFmtId="49" fontId="8" fillId="4" borderId="56" xfId="58" applyNumberFormat="1" applyFont="1" applyFill="1" applyBorder="1" applyAlignment="1">
      <alignment horizontal="left"/>
      <protection/>
    </xf>
    <xf numFmtId="3" fontId="8" fillId="4" borderId="139" xfId="0" applyNumberFormat="1" applyFont="1" applyFill="1" applyBorder="1" applyAlignment="1">
      <alignment horizontal="right"/>
    </xf>
    <xf numFmtId="3" fontId="8" fillId="4" borderId="145" xfId="0" applyNumberFormat="1" applyFont="1" applyFill="1" applyBorder="1" applyAlignment="1">
      <alignment horizontal="right"/>
    </xf>
    <xf numFmtId="3" fontId="8" fillId="4" borderId="109" xfId="0" applyNumberFormat="1" applyFont="1" applyFill="1" applyBorder="1" applyAlignment="1">
      <alignment horizontal="right"/>
    </xf>
    <xf numFmtId="3" fontId="8" fillId="4" borderId="216" xfId="0" applyNumberFormat="1" applyFont="1" applyFill="1" applyBorder="1" applyAlignment="1">
      <alignment horizontal="right"/>
    </xf>
    <xf numFmtId="3" fontId="8" fillId="4" borderId="114" xfId="0" applyNumberFormat="1" applyFont="1" applyFill="1" applyBorder="1" applyAlignment="1">
      <alignment horizontal="right"/>
    </xf>
    <xf numFmtId="3" fontId="8" fillId="4" borderId="149" xfId="0" applyNumberFormat="1" applyFont="1" applyFill="1" applyBorder="1" applyAlignment="1">
      <alignment horizontal="right"/>
    </xf>
    <xf numFmtId="3" fontId="9" fillId="0" borderId="602" xfId="0" applyNumberFormat="1" applyFont="1" applyFill="1" applyBorder="1" applyAlignment="1">
      <alignment horizontal="center" vertical="center" wrapText="1"/>
    </xf>
    <xf numFmtId="3" fontId="9" fillId="0" borderId="603" xfId="0" applyNumberFormat="1" applyFont="1" applyFill="1" applyBorder="1" applyAlignment="1">
      <alignment horizontal="center" vertical="center" wrapText="1"/>
    </xf>
    <xf numFmtId="3" fontId="9" fillId="0" borderId="604" xfId="0" applyNumberFormat="1" applyFont="1" applyFill="1" applyBorder="1" applyAlignment="1">
      <alignment horizontal="center" vertical="center" wrapText="1"/>
    </xf>
    <xf numFmtId="49" fontId="9" fillId="0" borderId="605" xfId="0" applyNumberFormat="1" applyFont="1" applyFill="1" applyBorder="1" applyAlignment="1">
      <alignment horizontal="left" vertical="center"/>
    </xf>
    <xf numFmtId="49" fontId="9" fillId="0" borderId="606" xfId="0" applyNumberFormat="1" applyFont="1" applyFill="1" applyBorder="1" applyAlignment="1">
      <alignment horizontal="left" vertical="center"/>
    </xf>
    <xf numFmtId="0" fontId="0" fillId="0" borderId="60" xfId="0" applyFont="1" applyFill="1" applyBorder="1" applyAlignment="1">
      <alignment horizontal="left" vertical="center"/>
    </xf>
    <xf numFmtId="0" fontId="0" fillId="0" borderId="215" xfId="0" applyFont="1" applyFill="1" applyBorder="1" applyAlignment="1">
      <alignment horizontal="left" vertical="center"/>
    </xf>
    <xf numFmtId="49" fontId="20" fillId="0" borderId="147" xfId="0" applyNumberFormat="1" applyFont="1" applyFill="1" applyBorder="1" applyAlignment="1">
      <alignment horizontal="center" vertical="center" wrapText="1"/>
    </xf>
    <xf numFmtId="49" fontId="9" fillId="0" borderId="607" xfId="0" applyNumberFormat="1" applyFont="1" applyFill="1" applyBorder="1" applyAlignment="1">
      <alignment horizontal="left" vertical="center"/>
    </xf>
    <xf numFmtId="49" fontId="9" fillId="0" borderId="608" xfId="0" applyNumberFormat="1" applyFont="1" applyFill="1" applyBorder="1" applyAlignment="1">
      <alignment horizontal="left" vertical="center"/>
    </xf>
    <xf numFmtId="49" fontId="9" fillId="0" borderId="609" xfId="0" applyNumberFormat="1" applyFont="1" applyFill="1" applyBorder="1" applyAlignment="1">
      <alignment horizontal="left" vertical="center"/>
    </xf>
    <xf numFmtId="3" fontId="9" fillId="0" borderId="610" xfId="0" applyNumberFormat="1" applyFont="1" applyFill="1" applyBorder="1" applyAlignment="1">
      <alignment horizontal="center" vertical="center" wrapText="1"/>
    </xf>
    <xf numFmtId="49" fontId="9" fillId="0" borderId="611" xfId="0" applyNumberFormat="1" applyFont="1" applyFill="1" applyBorder="1" applyAlignment="1">
      <alignment horizontal="left" vertical="center"/>
    </xf>
    <xf numFmtId="3" fontId="9" fillId="0" borderId="612" xfId="0" applyNumberFormat="1" applyFont="1" applyFill="1" applyBorder="1" applyAlignment="1">
      <alignment horizontal="center" vertical="center" wrapText="1"/>
    </xf>
    <xf numFmtId="49" fontId="20" fillId="24" borderId="157" xfId="0" applyNumberFormat="1" applyFont="1" applyFill="1" applyBorder="1" applyAlignment="1">
      <alignment horizontal="center" vertical="center" wrapText="1"/>
    </xf>
    <xf numFmtId="49" fontId="9" fillId="0" borderId="180" xfId="0" applyNumberFormat="1" applyFont="1" applyFill="1" applyBorder="1" applyAlignment="1">
      <alignment horizontal="left" vertical="center"/>
    </xf>
    <xf numFmtId="3" fontId="9" fillId="0" borderId="613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left" vertical="center"/>
    </xf>
    <xf numFmtId="3" fontId="5" fillId="25" borderId="0" xfId="0" applyNumberFormat="1" applyFont="1" applyFill="1" applyBorder="1" applyAlignment="1">
      <alignment/>
    </xf>
    <xf numFmtId="3" fontId="13" fillId="25" borderId="0" xfId="0" applyNumberFormat="1" applyFont="1" applyFill="1" applyBorder="1" applyAlignment="1">
      <alignment/>
    </xf>
    <xf numFmtId="49" fontId="9" fillId="0" borderId="614" xfId="0" applyNumberFormat="1" applyFont="1" applyFill="1" applyBorder="1" applyAlignment="1">
      <alignment horizontal="center" vertical="center" wrapText="1"/>
    </xf>
    <xf numFmtId="49" fontId="9" fillId="0" borderId="615" xfId="0" applyNumberFormat="1" applyFont="1" applyFill="1" applyBorder="1" applyAlignment="1">
      <alignment horizontal="center" vertical="center" wrapText="1"/>
    </xf>
    <xf numFmtId="49" fontId="9" fillId="0" borderId="146" xfId="0" applyNumberFormat="1" applyFont="1" applyFill="1" applyBorder="1" applyAlignment="1">
      <alignment horizontal="center" vertical="center" wrapText="1"/>
    </xf>
    <xf numFmtId="49" fontId="9" fillId="0" borderId="136" xfId="0" applyNumberFormat="1" applyFont="1" applyFill="1" applyBorder="1" applyAlignment="1">
      <alignment horizontal="center" vertical="center" wrapText="1"/>
    </xf>
    <xf numFmtId="49" fontId="9" fillId="0" borderId="147" xfId="0" applyNumberFormat="1" applyFont="1" applyFill="1" applyBorder="1" applyAlignment="1">
      <alignment horizontal="center" vertical="center" wrapText="1"/>
    </xf>
    <xf numFmtId="49" fontId="9" fillId="0" borderId="148" xfId="0" applyNumberFormat="1" applyFont="1" applyFill="1" applyBorder="1" applyAlignment="1">
      <alignment horizontal="center" vertical="center" wrapText="1"/>
    </xf>
    <xf numFmtId="49" fontId="9" fillId="0" borderId="124" xfId="0" applyNumberFormat="1" applyFont="1" applyFill="1" applyBorder="1" applyAlignment="1">
      <alignment horizontal="center" vertical="center" wrapText="1"/>
    </xf>
    <xf numFmtId="49" fontId="34" fillId="0" borderId="147" xfId="0" applyNumberFormat="1" applyFont="1" applyFill="1" applyBorder="1" applyAlignment="1">
      <alignment horizontal="center" vertical="center" wrapText="1"/>
    </xf>
    <xf numFmtId="49" fontId="34" fillId="0" borderId="136" xfId="0" applyNumberFormat="1" applyFont="1" applyFill="1" applyBorder="1" applyAlignment="1">
      <alignment horizontal="center" vertical="center" wrapText="1"/>
    </xf>
    <xf numFmtId="49" fontId="34" fillId="2" borderId="157" xfId="0" applyNumberFormat="1" applyFont="1" applyFill="1" applyBorder="1" applyAlignment="1">
      <alignment horizontal="center" vertical="center" wrapText="1"/>
    </xf>
    <xf numFmtId="49" fontId="34" fillId="2" borderId="359" xfId="0" applyNumberFormat="1" applyFont="1" applyFill="1" applyBorder="1" applyAlignment="1">
      <alignment horizontal="center" vertical="center" wrapText="1"/>
    </xf>
    <xf numFmtId="49" fontId="18" fillId="0" borderId="157" xfId="0" applyNumberFormat="1" applyFont="1" applyFill="1" applyBorder="1" applyAlignment="1">
      <alignment horizontal="center" vertical="center"/>
    </xf>
    <xf numFmtId="49" fontId="18" fillId="0" borderId="147" xfId="0" applyNumberFormat="1" applyFont="1" applyFill="1" applyBorder="1" applyAlignment="1">
      <alignment horizontal="center" vertical="center"/>
    </xf>
    <xf numFmtId="49" fontId="9" fillId="0" borderId="616" xfId="0" applyNumberFormat="1" applyFont="1" applyFill="1" applyBorder="1" applyAlignment="1">
      <alignment horizontal="left" vertical="center"/>
    </xf>
    <xf numFmtId="49" fontId="9" fillId="0" borderId="292" xfId="0" applyNumberFormat="1" applyFont="1" applyFill="1" applyBorder="1" applyAlignment="1">
      <alignment horizontal="left" vertical="center"/>
    </xf>
    <xf numFmtId="49" fontId="9" fillId="0" borderId="156" xfId="0" applyNumberFormat="1" applyFont="1" applyFill="1" applyBorder="1" applyAlignment="1">
      <alignment horizontal="center" vertical="center" wrapText="1"/>
    </xf>
    <xf numFmtId="49" fontId="9" fillId="0" borderId="157" xfId="0" applyNumberFormat="1" applyFont="1" applyFill="1" applyBorder="1" applyAlignment="1">
      <alignment horizontal="center" vertical="center" wrapText="1"/>
    </xf>
    <xf numFmtId="49" fontId="9" fillId="0" borderId="145" xfId="0" applyNumberFormat="1" applyFont="1" applyFill="1" applyBorder="1" applyAlignment="1">
      <alignment horizontal="center" vertical="center" wrapText="1"/>
    </xf>
    <xf numFmtId="49" fontId="9" fillId="0" borderId="114" xfId="0" applyNumberFormat="1" applyFont="1" applyFill="1" applyBorder="1" applyAlignment="1">
      <alignment horizontal="center" vertical="center" wrapText="1"/>
    </xf>
    <xf numFmtId="49" fontId="9" fillId="0" borderId="153" xfId="0" applyNumberFormat="1" applyFont="1" applyFill="1" applyBorder="1" applyAlignment="1">
      <alignment horizontal="center" vertical="center" wrapText="1"/>
    </xf>
    <xf numFmtId="49" fontId="9" fillId="0" borderId="149" xfId="0" applyNumberFormat="1" applyFont="1" applyFill="1" applyBorder="1" applyAlignment="1">
      <alignment horizontal="center" vertical="center" wrapText="1"/>
    </xf>
    <xf numFmtId="49" fontId="9" fillId="0" borderId="216" xfId="0" applyNumberFormat="1" applyFont="1" applyFill="1" applyBorder="1" applyAlignment="1">
      <alignment horizontal="center" vertical="center" wrapText="1"/>
    </xf>
    <xf numFmtId="49" fontId="34" fillId="2" borderId="147" xfId="0" applyNumberFormat="1" applyFont="1" applyFill="1" applyBorder="1" applyAlignment="1">
      <alignment horizontal="center" vertical="center" wrapText="1"/>
    </xf>
    <xf numFmtId="49" fontId="34" fillId="2" borderId="136" xfId="0" applyNumberFormat="1" applyFont="1" applyFill="1" applyBorder="1" applyAlignment="1">
      <alignment horizontal="center" vertical="center" wrapText="1"/>
    </xf>
    <xf numFmtId="49" fontId="20" fillId="24" borderId="147" xfId="0" applyNumberFormat="1" applyFont="1" applyFill="1" applyBorder="1" applyAlignment="1">
      <alignment horizontal="center" vertical="center" wrapText="1"/>
    </xf>
    <xf numFmtId="49" fontId="9" fillId="0" borderId="496" xfId="0" applyNumberFormat="1" applyFont="1" applyFill="1" applyBorder="1" applyAlignment="1">
      <alignment horizontal="left" vertical="center"/>
    </xf>
    <xf numFmtId="49" fontId="9" fillId="0" borderId="498" xfId="0" applyNumberFormat="1" applyFont="1" applyFill="1" applyBorder="1" applyAlignment="1">
      <alignment horizontal="left" vertical="center"/>
    </xf>
    <xf numFmtId="49" fontId="9" fillId="0" borderId="617" xfId="0" applyNumberFormat="1" applyFont="1" applyFill="1" applyBorder="1" applyAlignment="1">
      <alignment horizontal="left" vertical="center"/>
    </xf>
    <xf numFmtId="49" fontId="9" fillId="0" borderId="618" xfId="0" applyNumberFormat="1" applyFont="1" applyFill="1" applyBorder="1" applyAlignment="1">
      <alignment horizontal="left" vertical="center"/>
    </xf>
    <xf numFmtId="3" fontId="9" fillId="0" borderId="614" xfId="0" applyNumberFormat="1" applyFont="1" applyFill="1" applyBorder="1" applyAlignment="1">
      <alignment horizontal="center" vertical="center" wrapText="1"/>
    </xf>
    <xf numFmtId="3" fontId="9" fillId="0" borderId="615" xfId="0" applyNumberFormat="1" applyFont="1" applyFill="1" applyBorder="1" applyAlignment="1">
      <alignment horizontal="center" vertical="center" wrapText="1"/>
    </xf>
    <xf numFmtId="3" fontId="9" fillId="0" borderId="475" xfId="0" applyNumberFormat="1" applyFont="1" applyFill="1" applyBorder="1" applyAlignment="1">
      <alignment horizontal="center" vertical="center" wrapText="1"/>
    </xf>
    <xf numFmtId="3" fontId="9" fillId="0" borderId="148" xfId="0" applyNumberFormat="1" applyFont="1" applyFill="1" applyBorder="1" applyAlignment="1">
      <alignment horizontal="center" vertical="center" wrapText="1"/>
    </xf>
    <xf numFmtId="49" fontId="9" fillId="0" borderId="160" xfId="0" applyNumberFormat="1" applyFont="1" applyFill="1" applyBorder="1" applyAlignment="1">
      <alignment horizontal="center" vertical="center" wrapText="1"/>
    </xf>
    <xf numFmtId="49" fontId="9" fillId="0" borderId="289" xfId="0" applyNumberFormat="1" applyFont="1" applyFill="1" applyBorder="1" applyAlignment="1">
      <alignment horizontal="left" vertical="center"/>
    </xf>
    <xf numFmtId="49" fontId="9" fillId="0" borderId="619" xfId="0" applyNumberFormat="1" applyFont="1" applyFill="1" applyBorder="1" applyAlignment="1">
      <alignment horizontal="left" vertical="center"/>
    </xf>
    <xf numFmtId="49" fontId="9" fillId="0" borderId="620" xfId="0" applyNumberFormat="1" applyFont="1" applyFill="1" applyBorder="1" applyAlignment="1">
      <alignment horizontal="left" vertical="center"/>
    </xf>
    <xf numFmtId="49" fontId="9" fillId="0" borderId="621" xfId="0" applyNumberFormat="1" applyFont="1" applyFill="1" applyBorder="1" applyAlignment="1">
      <alignment horizontal="left" vertical="center"/>
    </xf>
    <xf numFmtId="49" fontId="9" fillId="0" borderId="287" xfId="0" applyNumberFormat="1" applyFont="1" applyFill="1" applyBorder="1" applyAlignment="1">
      <alignment horizontal="left" vertical="center"/>
    </xf>
    <xf numFmtId="49" fontId="9" fillId="0" borderId="392" xfId="0" applyNumberFormat="1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622" xfId="0" applyFont="1" applyFill="1" applyBorder="1" applyAlignment="1">
      <alignment horizontal="left" vertical="center"/>
    </xf>
    <xf numFmtId="49" fontId="9" fillId="0" borderId="613" xfId="0" applyNumberFormat="1" applyFont="1" applyFill="1" applyBorder="1" applyAlignment="1">
      <alignment horizontal="center" vertical="center" wrapText="1"/>
    </xf>
    <xf numFmtId="49" fontId="9" fillId="0" borderId="612" xfId="0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left" vertical="center"/>
    </xf>
    <xf numFmtId="0" fontId="5" fillId="0" borderId="622" xfId="0" applyFont="1" applyFill="1" applyBorder="1" applyAlignment="1">
      <alignment horizontal="left" vertical="center"/>
    </xf>
    <xf numFmtId="49" fontId="9" fillId="0" borderId="623" xfId="0" applyNumberFormat="1" applyFont="1" applyFill="1" applyBorder="1" applyAlignment="1">
      <alignment horizontal="left" vertical="center"/>
    </xf>
    <xf numFmtId="49" fontId="9" fillId="0" borderId="624" xfId="0" applyNumberFormat="1" applyFont="1" applyFill="1" applyBorder="1" applyAlignment="1">
      <alignment horizontal="left" vertical="center"/>
    </xf>
    <xf numFmtId="49" fontId="9" fillId="0" borderId="625" xfId="0" applyNumberFormat="1" applyFont="1" applyFill="1" applyBorder="1" applyAlignment="1">
      <alignment horizontal="left" vertical="center"/>
    </xf>
    <xf numFmtId="49" fontId="9" fillId="0" borderId="626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3" fontId="9" fillId="0" borderId="627" xfId="0" applyNumberFormat="1" applyFont="1" applyFill="1" applyBorder="1" applyAlignment="1">
      <alignment horizontal="center" vertical="center" wrapText="1"/>
    </xf>
    <xf numFmtId="3" fontId="9" fillId="0" borderId="628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/>
    </xf>
    <xf numFmtId="0" fontId="5" fillId="0" borderId="619" xfId="0" applyFont="1" applyFill="1" applyBorder="1" applyAlignment="1">
      <alignment horizontal="left" vertical="center"/>
    </xf>
    <xf numFmtId="49" fontId="9" fillId="0" borderId="119" xfId="0" applyNumberFormat="1" applyFont="1" applyFill="1" applyBorder="1" applyAlignment="1">
      <alignment horizontal="center" vertical="center" wrapText="1"/>
    </xf>
    <xf numFmtId="49" fontId="9" fillId="0" borderId="629" xfId="0" applyNumberFormat="1" applyFont="1" applyFill="1" applyBorder="1" applyAlignment="1">
      <alignment horizontal="center" vertical="center" wrapText="1"/>
    </xf>
    <xf numFmtId="49" fontId="9" fillId="0" borderId="204" xfId="0" applyNumberFormat="1" applyFont="1" applyFill="1" applyBorder="1" applyAlignment="1">
      <alignment horizontal="center" vertical="center" wrapText="1"/>
    </xf>
    <xf numFmtId="49" fontId="9" fillId="0" borderId="630" xfId="0" applyNumberFormat="1" applyFont="1" applyFill="1" applyBorder="1" applyAlignment="1">
      <alignment horizontal="center" vertical="center" wrapText="1"/>
    </xf>
    <xf numFmtId="3" fontId="9" fillId="0" borderId="631" xfId="0" applyNumberFormat="1" applyFont="1" applyFill="1" applyBorder="1" applyAlignment="1">
      <alignment horizontal="center" vertical="center" wrapText="1"/>
    </xf>
    <xf numFmtId="3" fontId="9" fillId="0" borderId="632" xfId="0" applyNumberFormat="1" applyFont="1" applyFill="1" applyBorder="1" applyAlignment="1">
      <alignment horizontal="center" vertical="center" wrapText="1"/>
    </xf>
    <xf numFmtId="49" fontId="9" fillId="0" borderId="109" xfId="0" applyNumberFormat="1" applyFont="1" applyFill="1" applyBorder="1" applyAlignment="1">
      <alignment horizontal="center" vertical="center" wrapText="1"/>
    </xf>
    <xf numFmtId="49" fontId="9" fillId="0" borderId="633" xfId="0" applyNumberFormat="1" applyFont="1" applyFill="1" applyBorder="1" applyAlignment="1">
      <alignment horizontal="center" vertical="center" wrapText="1"/>
    </xf>
    <xf numFmtId="49" fontId="9" fillId="0" borderId="634" xfId="0" applyNumberFormat="1" applyFont="1" applyFill="1" applyBorder="1" applyAlignment="1">
      <alignment horizontal="center" vertical="center" wrapText="1"/>
    </xf>
    <xf numFmtId="49" fontId="18" fillId="0" borderId="359" xfId="0" applyNumberFormat="1" applyFont="1" applyFill="1" applyBorder="1" applyAlignment="1">
      <alignment horizontal="center" vertical="center"/>
    </xf>
    <xf numFmtId="49" fontId="18" fillId="0" borderId="160" xfId="0" applyNumberFormat="1" applyFont="1" applyFill="1" applyBorder="1" applyAlignment="1">
      <alignment horizontal="center" vertical="center"/>
    </xf>
    <xf numFmtId="49" fontId="9" fillId="0" borderId="635" xfId="0" applyNumberFormat="1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258" xfId="0" applyFont="1" applyFill="1" applyBorder="1" applyAlignment="1">
      <alignment horizontal="left" vertical="center"/>
    </xf>
    <xf numFmtId="49" fontId="9" fillId="0" borderId="636" xfId="0" applyNumberFormat="1" applyFont="1" applyFill="1" applyBorder="1" applyAlignment="1">
      <alignment horizontal="center" vertical="center" wrapText="1"/>
    </xf>
    <xf numFmtId="49" fontId="9" fillId="0" borderId="637" xfId="0" applyNumberFormat="1" applyFont="1" applyFill="1" applyBorder="1" applyAlignment="1">
      <alignment horizontal="center" vertical="center" wrapText="1"/>
    </xf>
    <xf numFmtId="49" fontId="9" fillId="0" borderId="638" xfId="0" applyNumberFormat="1" applyFont="1" applyFill="1" applyBorder="1" applyAlignment="1">
      <alignment horizontal="left" vertical="center"/>
    </xf>
    <xf numFmtId="49" fontId="9" fillId="0" borderId="639" xfId="0" applyNumberFormat="1" applyFont="1" applyFill="1" applyBorder="1" applyAlignment="1">
      <alignment horizontal="left" vertical="center"/>
    </xf>
    <xf numFmtId="49" fontId="9" fillId="0" borderId="497" xfId="0" applyNumberFormat="1" applyFont="1" applyFill="1" applyBorder="1" applyAlignment="1">
      <alignment horizontal="left" vertical="center"/>
    </xf>
    <xf numFmtId="49" fontId="9" fillId="0" borderId="640" xfId="0" applyNumberFormat="1" applyFont="1" applyFill="1" applyBorder="1" applyAlignment="1">
      <alignment horizontal="left" vertical="center"/>
    </xf>
    <xf numFmtId="49" fontId="9" fillId="0" borderId="641" xfId="0" applyNumberFormat="1" applyFont="1" applyFill="1" applyBorder="1" applyAlignment="1">
      <alignment horizontal="left" vertical="center"/>
    </xf>
    <xf numFmtId="49" fontId="9" fillId="0" borderId="153" xfId="0" applyNumberFormat="1" applyFont="1" applyFill="1" applyBorder="1" applyAlignment="1">
      <alignment horizontal="left" vertical="center"/>
    </xf>
    <xf numFmtId="0" fontId="0" fillId="0" borderId="384" xfId="0" applyBorder="1" applyAlignment="1">
      <alignment horizontal="left" vertical="center"/>
    </xf>
    <xf numFmtId="0" fontId="0" fillId="0" borderId="158" xfId="0" applyBorder="1" applyAlignment="1">
      <alignment horizontal="left" vertical="center"/>
    </xf>
    <xf numFmtId="49" fontId="9" fillId="0" borderId="623" xfId="0" applyNumberFormat="1" applyFont="1" applyFill="1" applyBorder="1" applyAlignment="1">
      <alignment horizontal="center" vertical="center"/>
    </xf>
    <xf numFmtId="49" fontId="9" fillId="0" borderId="638" xfId="0" applyNumberFormat="1" applyFont="1" applyFill="1" applyBorder="1" applyAlignment="1">
      <alignment horizontal="center" vertical="center"/>
    </xf>
    <xf numFmtId="49" fontId="9" fillId="0" borderId="625" xfId="0" applyNumberFormat="1" applyFont="1" applyFill="1" applyBorder="1" applyAlignment="1">
      <alignment horizontal="center" vertical="center"/>
    </xf>
    <xf numFmtId="49" fontId="9" fillId="0" borderId="639" xfId="0" applyNumberFormat="1" applyFont="1" applyFill="1" applyBorder="1" applyAlignment="1">
      <alignment horizontal="center" vertical="center"/>
    </xf>
    <xf numFmtId="3" fontId="5" fillId="0" borderId="352" xfId="56" applyNumberFormat="1" applyFont="1" applyFill="1" applyBorder="1" applyAlignment="1">
      <alignment horizontal="right" vertical="center"/>
      <protection/>
    </xf>
    <xf numFmtId="3" fontId="5" fillId="0" borderId="96" xfId="56" applyNumberFormat="1" applyFont="1" applyFill="1" applyBorder="1" applyAlignment="1">
      <alignment horizontal="right" vertical="center"/>
      <protection/>
    </xf>
    <xf numFmtId="49" fontId="9" fillId="0" borderId="642" xfId="0" applyNumberFormat="1" applyFont="1" applyFill="1" applyBorder="1" applyAlignment="1">
      <alignment horizontal="center" vertical="center" wrapText="1"/>
    </xf>
    <xf numFmtId="49" fontId="9" fillId="0" borderId="643" xfId="0" applyNumberFormat="1" applyFont="1" applyFill="1" applyBorder="1" applyAlignment="1">
      <alignment horizontal="center" vertical="center" wrapText="1"/>
    </xf>
    <xf numFmtId="49" fontId="9" fillId="0" borderId="644" xfId="0" applyNumberFormat="1" applyFont="1" applyFill="1" applyBorder="1" applyAlignment="1">
      <alignment horizontal="center" vertical="center" wrapText="1"/>
    </xf>
    <xf numFmtId="49" fontId="9" fillId="0" borderId="645" xfId="0" applyNumberFormat="1" applyFont="1" applyFill="1" applyBorder="1" applyAlignment="1">
      <alignment horizontal="center" vertical="center" wrapText="1"/>
    </xf>
    <xf numFmtId="49" fontId="9" fillId="0" borderId="475" xfId="0" applyNumberFormat="1" applyFont="1" applyFill="1" applyBorder="1" applyAlignment="1">
      <alignment horizontal="left" vertical="center"/>
    </xf>
    <xf numFmtId="49" fontId="9" fillId="0" borderId="148" xfId="0" applyNumberFormat="1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left" vertical="center"/>
    </xf>
    <xf numFmtId="0" fontId="5" fillId="0" borderId="152" xfId="0" applyFont="1" applyFill="1" applyBorder="1" applyAlignment="1">
      <alignment horizontal="left" vertical="center"/>
    </xf>
    <xf numFmtId="49" fontId="9" fillId="0" borderId="646" xfId="0" applyNumberFormat="1" applyFont="1" applyFill="1" applyBorder="1" applyAlignment="1">
      <alignment horizontal="center" vertical="center" wrapText="1"/>
    </xf>
    <xf numFmtId="49" fontId="9" fillId="0" borderId="647" xfId="0" applyNumberFormat="1" applyFont="1" applyFill="1" applyBorder="1" applyAlignment="1">
      <alignment horizontal="center" vertical="center" wrapText="1"/>
    </xf>
    <xf numFmtId="49" fontId="9" fillId="0" borderId="648" xfId="0" applyNumberFormat="1" applyFont="1" applyFill="1" applyBorder="1" applyAlignment="1">
      <alignment horizontal="center" vertical="center" wrapText="1"/>
    </xf>
    <xf numFmtId="49" fontId="9" fillId="0" borderId="93" xfId="0" applyNumberFormat="1" applyFont="1" applyFill="1" applyBorder="1" applyAlignment="1">
      <alignment horizontal="center" vertical="center" wrapText="1"/>
    </xf>
    <xf numFmtId="49" fontId="18" fillId="0" borderId="114" xfId="0" applyNumberFormat="1" applyFont="1" applyFill="1" applyBorder="1" applyAlignment="1">
      <alignment horizontal="center" vertical="center"/>
    </xf>
    <xf numFmtId="49" fontId="9" fillId="0" borderId="649" xfId="0" applyNumberFormat="1" applyFont="1" applyFill="1" applyBorder="1" applyAlignment="1">
      <alignment horizontal="left" vertical="center"/>
    </xf>
    <xf numFmtId="49" fontId="9" fillId="0" borderId="650" xfId="0" applyNumberFormat="1" applyFont="1" applyFill="1" applyBorder="1" applyAlignment="1">
      <alignment horizontal="left" vertical="center"/>
    </xf>
    <xf numFmtId="0" fontId="5" fillId="0" borderId="71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/>
    </xf>
    <xf numFmtId="3" fontId="9" fillId="0" borderId="651" xfId="0" applyNumberFormat="1" applyFont="1" applyFill="1" applyBorder="1" applyAlignment="1">
      <alignment horizontal="center" vertical="center" wrapText="1"/>
    </xf>
    <xf numFmtId="3" fontId="9" fillId="0" borderId="652" xfId="0" applyNumberFormat="1" applyFont="1" applyFill="1" applyBorder="1" applyAlignment="1">
      <alignment horizontal="center" vertical="center" wrapText="1"/>
    </xf>
    <xf numFmtId="3" fontId="5" fillId="0" borderId="110" xfId="0" applyNumberFormat="1" applyFont="1" applyFill="1" applyBorder="1" applyAlignment="1">
      <alignment vertical="center"/>
    </xf>
    <xf numFmtId="3" fontId="5" fillId="0" borderId="84" xfId="0" applyNumberFormat="1" applyFont="1" applyFill="1" applyBorder="1" applyAlignment="1">
      <alignment vertical="center"/>
    </xf>
    <xf numFmtId="3" fontId="5" fillId="0" borderId="363" xfId="0" applyNumberFormat="1" applyFont="1" applyFill="1" applyBorder="1" applyAlignment="1">
      <alignment vertical="center"/>
    </xf>
    <xf numFmtId="3" fontId="5" fillId="0" borderId="365" xfId="0" applyNumberFormat="1" applyFont="1" applyFill="1" applyBorder="1" applyAlignment="1">
      <alignment vertical="center"/>
    </xf>
    <xf numFmtId="3" fontId="5" fillId="0" borderId="66" xfId="0" applyNumberFormat="1" applyFont="1" applyFill="1" applyBorder="1" applyAlignment="1">
      <alignment vertical="center"/>
    </xf>
    <xf numFmtId="3" fontId="5" fillId="0" borderId="67" xfId="0" applyNumberFormat="1" applyFont="1" applyFill="1" applyBorder="1" applyAlignment="1">
      <alignment vertical="center"/>
    </xf>
    <xf numFmtId="3" fontId="5" fillId="0" borderId="108" xfId="0" applyNumberFormat="1" applyFont="1" applyFill="1" applyBorder="1" applyAlignment="1">
      <alignment vertical="center"/>
    </xf>
    <xf numFmtId="0" fontId="0" fillId="0" borderId="242" xfId="0" applyFill="1" applyBorder="1" applyAlignment="1">
      <alignment vertical="center"/>
    </xf>
    <xf numFmtId="3" fontId="5" fillId="22" borderId="172" xfId="0" applyNumberFormat="1" applyFont="1" applyFill="1" applyBorder="1" applyAlignment="1">
      <alignment vertical="center"/>
    </xf>
    <xf numFmtId="3" fontId="5" fillId="22" borderId="165" xfId="0" applyNumberFormat="1" applyFont="1" applyFill="1" applyBorder="1" applyAlignment="1">
      <alignment vertical="center"/>
    </xf>
    <xf numFmtId="3" fontId="5" fillId="22" borderId="182" xfId="0" applyNumberFormat="1" applyFont="1" applyFill="1" applyBorder="1" applyAlignment="1">
      <alignment vertical="center"/>
    </xf>
    <xf numFmtId="3" fontId="5" fillId="22" borderId="104" xfId="0" applyNumberFormat="1" applyFont="1" applyFill="1" applyBorder="1" applyAlignment="1">
      <alignment vertical="center"/>
    </xf>
    <xf numFmtId="49" fontId="9" fillId="0" borderId="653" xfId="0" applyNumberFormat="1" applyFont="1" applyFill="1" applyBorder="1" applyAlignment="1">
      <alignment horizontal="left" vertical="center"/>
    </xf>
    <xf numFmtId="49" fontId="9" fillId="0" borderId="654" xfId="0" applyNumberFormat="1" applyFont="1" applyFill="1" applyBorder="1" applyAlignment="1">
      <alignment horizontal="left" vertical="center"/>
    </xf>
    <xf numFmtId="0" fontId="5" fillId="0" borderId="655" xfId="0" applyFont="1" applyFill="1" applyBorder="1" applyAlignment="1">
      <alignment horizontal="left" vertical="center"/>
    </xf>
    <xf numFmtId="0" fontId="5" fillId="0" borderId="229" xfId="0" applyFont="1" applyFill="1" applyBorder="1" applyAlignment="1">
      <alignment horizontal="left" vertical="center"/>
    </xf>
    <xf numFmtId="3" fontId="5" fillId="0" borderId="182" xfId="0" applyNumberFormat="1" applyFont="1" applyFill="1" applyBorder="1" applyAlignment="1">
      <alignment vertical="center"/>
    </xf>
    <xf numFmtId="3" fontId="5" fillId="0" borderId="104" xfId="0" applyNumberFormat="1" applyFont="1" applyFill="1" applyBorder="1" applyAlignment="1">
      <alignment vertical="center"/>
    </xf>
    <xf numFmtId="3" fontId="5" fillId="0" borderId="111" xfId="0" applyNumberFormat="1" applyFont="1" applyFill="1" applyBorder="1" applyAlignment="1">
      <alignment vertical="center"/>
    </xf>
    <xf numFmtId="3" fontId="5" fillId="0" borderId="115" xfId="0" applyNumberFormat="1" applyFont="1" applyFill="1" applyBorder="1" applyAlignment="1">
      <alignment vertical="center"/>
    </xf>
    <xf numFmtId="3" fontId="5" fillId="0" borderId="656" xfId="0" applyNumberFormat="1" applyFont="1" applyFill="1" applyBorder="1" applyAlignment="1">
      <alignment vertical="center"/>
    </xf>
    <xf numFmtId="3" fontId="5" fillId="0" borderId="85" xfId="0" applyNumberFormat="1" applyFont="1" applyFill="1" applyBorder="1" applyAlignment="1">
      <alignment vertical="center"/>
    </xf>
    <xf numFmtId="3" fontId="5" fillId="0" borderId="520" xfId="0" applyNumberFormat="1" applyFont="1" applyFill="1" applyBorder="1" applyAlignment="1">
      <alignment vertical="center"/>
    </xf>
    <xf numFmtId="3" fontId="5" fillId="0" borderId="221" xfId="0" applyNumberFormat="1" applyFont="1" applyFill="1" applyBorder="1" applyAlignment="1">
      <alignment vertical="center"/>
    </xf>
    <xf numFmtId="3" fontId="5" fillId="0" borderId="293" xfId="56" applyNumberFormat="1" applyFont="1" applyFill="1" applyBorder="1" applyAlignment="1">
      <alignment horizontal="right" vertical="center"/>
      <protection/>
    </xf>
    <xf numFmtId="49" fontId="9" fillId="0" borderId="657" xfId="0" applyNumberFormat="1" applyFont="1" applyFill="1" applyBorder="1" applyAlignment="1">
      <alignment horizontal="left" vertical="center"/>
    </xf>
    <xf numFmtId="49" fontId="9" fillId="0" borderId="658" xfId="0" applyNumberFormat="1" applyFont="1" applyFill="1" applyBorder="1" applyAlignment="1">
      <alignment horizontal="left" vertical="center"/>
    </xf>
    <xf numFmtId="49" fontId="9" fillId="0" borderId="659" xfId="0" applyNumberFormat="1" applyFont="1" applyFill="1" applyBorder="1" applyAlignment="1">
      <alignment horizontal="left" vertical="center"/>
    </xf>
    <xf numFmtId="49" fontId="9" fillId="0" borderId="660" xfId="0" applyNumberFormat="1" applyFont="1" applyFill="1" applyBorder="1" applyAlignment="1">
      <alignment horizontal="left" vertical="center"/>
    </xf>
    <xf numFmtId="0" fontId="5" fillId="0" borderId="215" xfId="0" applyFont="1" applyFill="1" applyBorder="1" applyAlignment="1">
      <alignment horizontal="left" vertical="center"/>
    </xf>
    <xf numFmtId="49" fontId="18" fillId="0" borderId="313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219" xfId="0" applyNumberFormat="1" applyFont="1" applyFill="1" applyBorder="1" applyAlignment="1">
      <alignment horizontal="right" vertical="center"/>
    </xf>
    <xf numFmtId="3" fontId="5" fillId="0" borderId="217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65" xfId="0" applyNumberFormat="1" applyFont="1" applyFill="1" applyBorder="1" applyAlignment="1">
      <alignment horizontal="right" vertical="center"/>
    </xf>
    <xf numFmtId="3" fontId="5" fillId="0" borderId="57" xfId="0" applyNumberFormat="1" applyFont="1" applyFill="1" applyBorder="1" applyAlignment="1">
      <alignment horizontal="right" vertical="center"/>
    </xf>
    <xf numFmtId="49" fontId="9" fillId="0" borderId="93" xfId="0" applyNumberFormat="1" applyFont="1" applyFill="1" applyBorder="1" applyAlignment="1">
      <alignment horizontal="left" vertical="center"/>
    </xf>
    <xf numFmtId="0" fontId="5" fillId="0" borderId="105" xfId="0" applyFont="1" applyFill="1" applyBorder="1" applyAlignment="1">
      <alignment horizontal="left" vertical="center"/>
    </xf>
    <xf numFmtId="49" fontId="9" fillId="0" borderId="661" xfId="0" applyNumberFormat="1" applyFont="1" applyFill="1" applyBorder="1" applyAlignment="1">
      <alignment horizontal="center" vertical="center" wrapText="1"/>
    </xf>
    <xf numFmtId="0" fontId="5" fillId="0" borderId="205" xfId="0" applyFont="1" applyFill="1" applyBorder="1" applyAlignment="1">
      <alignment horizontal="left" vertical="center"/>
    </xf>
    <xf numFmtId="0" fontId="5" fillId="0" borderId="107" xfId="0" applyFont="1" applyFill="1" applyBorder="1" applyAlignment="1">
      <alignment horizontal="left" vertical="center"/>
    </xf>
    <xf numFmtId="3" fontId="9" fillId="0" borderId="15" xfId="0" applyNumberFormat="1" applyFont="1" applyFill="1" applyBorder="1" applyAlignment="1">
      <alignment horizontal="center" vertical="center" wrapText="1"/>
    </xf>
    <xf numFmtId="49" fontId="9" fillId="0" borderId="603" xfId="0" applyNumberFormat="1" applyFont="1" applyFill="1" applyBorder="1" applyAlignment="1">
      <alignment horizontal="center" vertical="center" wrapText="1"/>
    </xf>
    <xf numFmtId="3" fontId="9" fillId="0" borderId="147" xfId="0" applyNumberFormat="1" applyFont="1" applyFill="1" applyBorder="1" applyAlignment="1">
      <alignment horizontal="center" vertical="center" wrapText="1"/>
    </xf>
    <xf numFmtId="0" fontId="8" fillId="0" borderId="496" xfId="0" applyFont="1" applyFill="1" applyBorder="1" applyAlignment="1">
      <alignment vertical="center"/>
    </xf>
    <xf numFmtId="0" fontId="13" fillId="0" borderId="497" xfId="0" applyFont="1" applyFill="1" applyBorder="1" applyAlignment="1">
      <alignment vertical="center"/>
    </xf>
    <xf numFmtId="0" fontId="13" fillId="0" borderId="498" xfId="0" applyFont="1" applyFill="1" applyBorder="1" applyAlignment="1">
      <alignment vertical="center"/>
    </xf>
    <xf numFmtId="0" fontId="13" fillId="0" borderId="203" xfId="0" applyFont="1" applyFill="1" applyBorder="1" applyAlignment="1">
      <alignment vertical="center"/>
    </xf>
    <xf numFmtId="0" fontId="13" fillId="0" borderId="299" xfId="0" applyFont="1" applyFill="1" applyBorder="1" applyAlignment="1">
      <alignment vertical="center"/>
    </xf>
    <xf numFmtId="0" fontId="13" fillId="0" borderId="662" xfId="0" applyFont="1" applyFill="1" applyBorder="1" applyAlignment="1">
      <alignment vertical="center"/>
    </xf>
    <xf numFmtId="49" fontId="9" fillId="0" borderId="663" xfId="0" applyNumberFormat="1" applyFont="1" applyFill="1" applyBorder="1" applyAlignment="1">
      <alignment horizontal="center" vertical="center"/>
    </xf>
    <xf numFmtId="0" fontId="9" fillId="0" borderId="348" xfId="0" applyFont="1" applyFill="1" applyBorder="1" applyAlignment="1">
      <alignment horizontal="center" vertical="center"/>
    </xf>
    <xf numFmtId="49" fontId="9" fillId="0" borderId="664" xfId="0" applyNumberFormat="1" applyFont="1" applyFill="1" applyBorder="1" applyAlignment="1">
      <alignment horizontal="center" vertical="center"/>
    </xf>
    <xf numFmtId="0" fontId="9" fillId="0" borderId="190" xfId="0" applyFont="1" applyFill="1" applyBorder="1" applyAlignment="1">
      <alignment horizontal="center" vertical="center"/>
    </xf>
    <xf numFmtId="3" fontId="9" fillId="0" borderId="136" xfId="0" applyNumberFormat="1" applyFont="1" applyFill="1" applyBorder="1" applyAlignment="1">
      <alignment horizontal="center" vertical="center" wrapText="1"/>
    </xf>
    <xf numFmtId="49" fontId="9" fillId="0" borderId="136" xfId="0" applyNumberFormat="1" applyFont="1" applyFill="1" applyBorder="1" applyAlignment="1">
      <alignment horizontal="left" vertical="center"/>
    </xf>
    <xf numFmtId="0" fontId="0" fillId="0" borderId="205" xfId="0" applyFont="1" applyFill="1" applyBorder="1" applyAlignment="1">
      <alignment horizontal="left" vertical="center"/>
    </xf>
    <xf numFmtId="0" fontId="0" fillId="0" borderId="137" xfId="0" applyFont="1" applyFill="1" applyBorder="1" applyAlignment="1">
      <alignment horizontal="left" vertical="center"/>
    </xf>
    <xf numFmtId="0" fontId="8" fillId="0" borderId="611" xfId="0" applyFont="1" applyFill="1" applyBorder="1" applyAlignment="1">
      <alignment vertical="center"/>
    </xf>
    <xf numFmtId="0" fontId="13" fillId="0" borderId="665" xfId="0" applyFont="1" applyFill="1" applyBorder="1" applyAlignment="1">
      <alignment vertical="center"/>
    </xf>
    <xf numFmtId="0" fontId="13" fillId="0" borderId="61" xfId="0" applyFont="1" applyFill="1" applyBorder="1" applyAlignment="1">
      <alignment vertical="center"/>
    </xf>
    <xf numFmtId="0" fontId="13" fillId="0" borderId="388" xfId="0" applyFont="1" applyFill="1" applyBorder="1" applyAlignment="1">
      <alignment vertical="center"/>
    </xf>
    <xf numFmtId="0" fontId="24" fillId="0" borderId="496" xfId="0" applyFont="1" applyFill="1" applyBorder="1" applyAlignment="1">
      <alignment vertical="center"/>
    </xf>
    <xf numFmtId="0" fontId="24" fillId="0" borderId="203" xfId="0" applyFont="1" applyFill="1" applyBorder="1" applyAlignment="1">
      <alignment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e_Hárok1" xfId="56"/>
    <cellStyle name="normálne_Hárok1_1" xfId="57"/>
    <cellStyle name="normálne_Hárok2" xfId="58"/>
    <cellStyle name="normálne_Hárok3" xfId="59"/>
    <cellStyle name="normálne_Hárok4" xfId="60"/>
    <cellStyle name="normálne_Hárok5" xfId="61"/>
    <cellStyle name="normálne_Hárok6" xfId="62"/>
    <cellStyle name="normálne_Hárok7" xfId="63"/>
    <cellStyle name="Note" xfId="64"/>
    <cellStyle name="Output" xfId="65"/>
    <cellStyle name="Percent" xfId="66"/>
    <cellStyle name="Followed Hyperlink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44</xdr:row>
      <xdr:rowOff>85725</xdr:rowOff>
    </xdr:from>
    <xdr:to>
      <xdr:col>7</xdr:col>
      <xdr:colOff>0</xdr:colOff>
      <xdr:row>45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829050" y="510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44</xdr:row>
      <xdr:rowOff>47625</xdr:rowOff>
    </xdr:from>
    <xdr:to>
      <xdr:col>6</xdr:col>
      <xdr:colOff>123825</xdr:colOff>
      <xdr:row>45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3829050" y="510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44</xdr:row>
      <xdr:rowOff>47625</xdr:rowOff>
    </xdr:from>
    <xdr:to>
      <xdr:col>5</xdr:col>
      <xdr:colOff>180975</xdr:colOff>
      <xdr:row>45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3829050" y="510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44</xdr:row>
      <xdr:rowOff>28575</xdr:rowOff>
    </xdr:from>
    <xdr:to>
      <xdr:col>8</xdr:col>
      <xdr:colOff>161925</xdr:colOff>
      <xdr:row>45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4762500" y="51054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0"/>
  <sheetViews>
    <sheetView zoomScalePageLayoutView="0" workbookViewId="0" topLeftCell="A1">
      <pane xSplit="7" ySplit="4" topLeftCell="H140" activePane="bottomRight" state="frozen"/>
      <selection pane="topLeft" activeCell="A1" sqref="A1"/>
      <selection pane="topRight" activeCell="H1" sqref="H1"/>
      <selection pane="bottomLeft" activeCell="A3" sqref="A3"/>
      <selection pane="bottomRight" activeCell="P141" sqref="P141"/>
    </sheetView>
  </sheetViews>
  <sheetFormatPr defaultColWidth="9.140625" defaultRowHeight="12.75"/>
  <cols>
    <col min="1" max="1" width="4.28125" style="3" customWidth="1"/>
    <col min="2" max="2" width="4.7109375" style="397" hidden="1" customWidth="1"/>
    <col min="3" max="3" width="53.140625" style="3" customWidth="1"/>
    <col min="4" max="4" width="9.28125" style="6" hidden="1" customWidth="1"/>
    <col min="5" max="5" width="9.8515625" style="52" hidden="1" customWidth="1"/>
    <col min="6" max="6" width="9.7109375" style="52" hidden="1" customWidth="1"/>
    <col min="7" max="7" width="10.140625" style="398" hidden="1" customWidth="1"/>
    <col min="8" max="10" width="12.7109375" style="398" customWidth="1"/>
    <col min="11" max="15" width="12.7109375" style="399" customWidth="1"/>
    <col min="16" max="16" width="11.421875" style="0" bestFit="1" customWidth="1"/>
    <col min="17" max="17" width="10.140625" style="0" bestFit="1" customWidth="1"/>
  </cols>
  <sheetData>
    <row r="1" ht="24" customHeight="1">
      <c r="I1" s="396" t="s">
        <v>104</v>
      </c>
    </row>
    <row r="2" ht="12" customHeight="1" thickBot="1">
      <c r="I2" s="396"/>
    </row>
    <row r="3" spans="1:15" ht="30" customHeight="1" thickTop="1">
      <c r="A3" s="3013" t="s">
        <v>1240</v>
      </c>
      <c r="B3" s="3014"/>
      <c r="C3" s="3015"/>
      <c r="D3" s="3019">
        <v>2005</v>
      </c>
      <c r="E3" s="3021">
        <v>2006</v>
      </c>
      <c r="F3" s="3021">
        <v>2007</v>
      </c>
      <c r="G3" s="2081">
        <v>2008</v>
      </c>
      <c r="H3" s="3012" t="s">
        <v>761</v>
      </c>
      <c r="I3" s="3023"/>
      <c r="J3" s="2859" t="s">
        <v>183</v>
      </c>
      <c r="K3" s="2860"/>
      <c r="L3" s="2865" t="s">
        <v>725</v>
      </c>
      <c r="M3" s="2863"/>
      <c r="N3" s="2863" t="s">
        <v>726</v>
      </c>
      <c r="O3" s="2864"/>
    </row>
    <row r="4" spans="1:15" ht="16.5" customHeight="1" thickBot="1">
      <c r="A4" s="3016"/>
      <c r="B4" s="3017"/>
      <c r="C4" s="3018"/>
      <c r="D4" s="3020"/>
      <c r="E4" s="3022"/>
      <c r="F4" s="3022"/>
      <c r="G4" s="2082" t="s">
        <v>966</v>
      </c>
      <c r="H4" s="1965" t="s">
        <v>435</v>
      </c>
      <c r="I4" s="2103" t="s">
        <v>966</v>
      </c>
      <c r="J4" s="1963" t="s">
        <v>435</v>
      </c>
      <c r="K4" s="1964" t="s">
        <v>966</v>
      </c>
      <c r="L4" s="2097" t="s">
        <v>435</v>
      </c>
      <c r="M4" s="1965" t="s">
        <v>966</v>
      </c>
      <c r="N4" s="1965" t="s">
        <v>435</v>
      </c>
      <c r="O4" s="1966" t="s">
        <v>966</v>
      </c>
    </row>
    <row r="5" spans="1:17" s="400" customFormat="1" ht="20.25" customHeight="1">
      <c r="A5" s="2198" t="s">
        <v>795</v>
      </c>
      <c r="B5" s="2199" t="s">
        <v>1241</v>
      </c>
      <c r="C5" s="2200" t="s">
        <v>1242</v>
      </c>
      <c r="D5" s="2201">
        <f>SUM(D7,D8,D23,D30,D31,D36)</f>
        <v>213497</v>
      </c>
      <c r="E5" s="2202">
        <f>SUM(E7,E8,E23,E30,E31,E36)</f>
        <v>236258</v>
      </c>
      <c r="F5" s="2202">
        <f>SUM(F7,F8,F23,F30,F31,F36)</f>
        <v>250139</v>
      </c>
      <c r="G5" s="2203">
        <f>SUM(G7,G8,G23,G30,G31,G36)</f>
        <v>301643</v>
      </c>
      <c r="H5" s="2204">
        <f>H6</f>
        <v>9519109</v>
      </c>
      <c r="I5" s="2205">
        <f aca="true" t="shared" si="0" ref="I5:O5">I6</f>
        <v>286772.677734</v>
      </c>
      <c r="J5" s="2206">
        <f t="shared" si="0"/>
        <v>9485761</v>
      </c>
      <c r="K5" s="2207">
        <f t="shared" si="0"/>
        <v>285768.0358860001</v>
      </c>
      <c r="L5" s="2208">
        <f t="shared" si="0"/>
        <v>9493301.61043617</v>
      </c>
      <c r="M5" s="2204">
        <f t="shared" si="0"/>
        <v>285995.20431600005</v>
      </c>
      <c r="N5" s="2204">
        <f t="shared" si="0"/>
        <v>9557100.621921264</v>
      </c>
      <c r="O5" s="2209">
        <f t="shared" si="0"/>
        <v>287917.213336</v>
      </c>
      <c r="Q5" s="401"/>
    </row>
    <row r="6" spans="1:17" s="1883" customFormat="1" ht="19.5" customHeight="1">
      <c r="A6" s="1962"/>
      <c r="B6" s="1916"/>
      <c r="C6" s="1938" t="s">
        <v>876</v>
      </c>
      <c r="D6" s="1939"/>
      <c r="E6" s="1940"/>
      <c r="F6" s="1940"/>
      <c r="G6" s="2083"/>
      <c r="H6" s="1940">
        <f>H7+H8+H23+H30+H31+H36</f>
        <v>9519109</v>
      </c>
      <c r="I6" s="2083">
        <f aca="true" t="shared" si="1" ref="I6:O6">I7+I8+I23+I30+I31+I36</f>
        <v>286772.677734</v>
      </c>
      <c r="J6" s="1942">
        <f t="shared" si="1"/>
        <v>9485761</v>
      </c>
      <c r="K6" s="1941">
        <f t="shared" si="1"/>
        <v>285768.0358860001</v>
      </c>
      <c r="L6" s="1939">
        <f t="shared" si="1"/>
        <v>9493301.61043617</v>
      </c>
      <c r="M6" s="1940">
        <f t="shared" si="1"/>
        <v>285995.20431600005</v>
      </c>
      <c r="N6" s="1940">
        <f t="shared" si="1"/>
        <v>9557100.621921264</v>
      </c>
      <c r="O6" s="1953">
        <f t="shared" si="1"/>
        <v>287917.213336</v>
      </c>
      <c r="Q6" s="1884"/>
    </row>
    <row r="7" spans="1:18" s="402" customFormat="1" ht="15" customHeight="1">
      <c r="A7" s="2022" t="s">
        <v>1243</v>
      </c>
      <c r="B7" s="1917" t="s">
        <v>1241</v>
      </c>
      <c r="C7" s="1954" t="s">
        <v>1244</v>
      </c>
      <c r="D7" s="1955">
        <v>130592</v>
      </c>
      <c r="E7" s="1956">
        <v>143551</v>
      </c>
      <c r="F7" s="1956">
        <v>145209</v>
      </c>
      <c r="G7" s="2084">
        <v>174732</v>
      </c>
      <c r="H7" s="1959">
        <v>5311027</v>
      </c>
      <c r="I7" s="2104">
        <f aca="true" t="shared" si="2" ref="I7:I71">H7*30.126/1000</f>
        <v>159999.99940200002</v>
      </c>
      <c r="J7" s="1957">
        <v>5483660</v>
      </c>
      <c r="K7" s="1958">
        <f aca="true" t="shared" si="3" ref="K7:K71">J7*30.126/1000</f>
        <v>165200.74116</v>
      </c>
      <c r="L7" s="2098">
        <f>M7*1000/30.126</f>
        <v>5487230</v>
      </c>
      <c r="M7" s="1956">
        <v>165308.29098000002</v>
      </c>
      <c r="N7" s="1959">
        <f>O7*1000/30.126</f>
        <v>5545000</v>
      </c>
      <c r="O7" s="1960">
        <v>167048.67</v>
      </c>
      <c r="Q7" s="401"/>
      <c r="R7" s="400"/>
    </row>
    <row r="8" spans="1:18" s="402" customFormat="1" ht="15" customHeight="1">
      <c r="A8" s="2024" t="s">
        <v>1245</v>
      </c>
      <c r="B8" s="1917" t="s">
        <v>1241</v>
      </c>
      <c r="C8" s="1923" t="s">
        <v>1246</v>
      </c>
      <c r="D8" s="1893">
        <f>SUM(D9+D15+D16+D17+D18+D19+D20+D21+D22)</f>
        <v>61103</v>
      </c>
      <c r="E8" s="1894">
        <f aca="true" t="shared" si="4" ref="E8:O8">SUM(E9+E15+E16+E17+E18+E19+E20+E21+E22)</f>
        <v>63409</v>
      </c>
      <c r="F8" s="1894">
        <f t="shared" si="4"/>
        <v>65944</v>
      </c>
      <c r="G8" s="2085">
        <f t="shared" si="4"/>
        <v>79689</v>
      </c>
      <c r="H8" s="1946">
        <v>2676820</v>
      </c>
      <c r="I8" s="2105">
        <f t="shared" si="2"/>
        <v>80641.87932000001</v>
      </c>
      <c r="J8" s="1895">
        <v>2677417</v>
      </c>
      <c r="K8" s="1896">
        <f t="shared" si="3"/>
        <v>80659.86454200001</v>
      </c>
      <c r="L8" s="2099">
        <f>M8*1000/30.126</f>
        <v>2676388.214034389</v>
      </c>
      <c r="M8" s="1894">
        <f t="shared" si="4"/>
        <v>80628.871336</v>
      </c>
      <c r="N8" s="1946">
        <f>O8*1000/30.126</f>
        <v>2677417.2255194844</v>
      </c>
      <c r="O8" s="1947">
        <f t="shared" si="4"/>
        <v>80659.871336</v>
      </c>
      <c r="Q8" s="401"/>
      <c r="R8" s="400"/>
    </row>
    <row r="9" spans="1:18" s="3" customFormat="1" ht="15" customHeight="1">
      <c r="A9" s="2025" t="s">
        <v>436</v>
      </c>
      <c r="B9" s="1918" t="s">
        <v>1241</v>
      </c>
      <c r="C9" s="1924" t="s">
        <v>1247</v>
      </c>
      <c r="D9" s="1897">
        <f>SUM(D10:D14)</f>
        <v>12170</v>
      </c>
      <c r="E9" s="1898">
        <f aca="true" t="shared" si="5" ref="E9:O9">SUM(E10:E14)</f>
        <v>16070</v>
      </c>
      <c r="F9" s="1898">
        <f t="shared" si="5"/>
        <v>15750</v>
      </c>
      <c r="G9" s="2086">
        <f t="shared" si="5"/>
        <v>2979</v>
      </c>
      <c r="H9" s="1948">
        <v>78992</v>
      </c>
      <c r="I9" s="2089">
        <f t="shared" si="2"/>
        <v>2379.712992</v>
      </c>
      <c r="J9" s="1899">
        <v>33108</v>
      </c>
      <c r="K9" s="1900">
        <f t="shared" si="3"/>
        <v>997.411608</v>
      </c>
      <c r="L9" s="2007">
        <f>M9*1000/30.126</f>
        <v>32079.45741220209</v>
      </c>
      <c r="M9" s="1898">
        <f t="shared" si="5"/>
        <v>966.4257340000001</v>
      </c>
      <c r="N9" s="1948">
        <f>O9*1000/30.126</f>
        <v>33108.46889729802</v>
      </c>
      <c r="O9" s="1949">
        <f t="shared" si="5"/>
        <v>997.4257340000001</v>
      </c>
      <c r="Q9" s="401"/>
      <c r="R9" s="400"/>
    </row>
    <row r="10" spans="1:18" s="3" customFormat="1" ht="15" customHeight="1" hidden="1">
      <c r="A10" s="2025"/>
      <c r="B10" s="1918" t="s">
        <v>1241</v>
      </c>
      <c r="C10" s="1925" t="s">
        <v>1248</v>
      </c>
      <c r="D10" s="1897">
        <v>8615</v>
      </c>
      <c r="E10" s="1898">
        <v>11871</v>
      </c>
      <c r="F10" s="1898">
        <v>12751</v>
      </c>
      <c r="G10" s="2086">
        <v>0</v>
      </c>
      <c r="H10" s="1948"/>
      <c r="I10" s="2089">
        <f t="shared" si="2"/>
        <v>0</v>
      </c>
      <c r="J10" s="1899"/>
      <c r="K10" s="1900">
        <f t="shared" si="3"/>
        <v>0</v>
      </c>
      <c r="L10" s="2007">
        <f aca="true" t="shared" si="6" ref="L10:N22">M10*1000/30.126</f>
        <v>0</v>
      </c>
      <c r="M10" s="1898">
        <v>0</v>
      </c>
      <c r="N10" s="1948">
        <f t="shared" si="6"/>
        <v>0</v>
      </c>
      <c r="O10" s="1949">
        <v>0</v>
      </c>
      <c r="Q10" s="401"/>
      <c r="R10" s="400"/>
    </row>
    <row r="11" spans="1:18" s="3" customFormat="1" ht="15" customHeight="1" hidden="1">
      <c r="A11" s="2025"/>
      <c r="B11" s="1918" t="s">
        <v>1241</v>
      </c>
      <c r="C11" s="1926" t="s">
        <v>1249</v>
      </c>
      <c r="D11" s="1897">
        <v>1457</v>
      </c>
      <c r="E11" s="1898">
        <v>1516</v>
      </c>
      <c r="F11" s="1898">
        <v>1635</v>
      </c>
      <c r="G11" s="2086">
        <v>1381</v>
      </c>
      <c r="H11" s="1948"/>
      <c r="I11" s="2089">
        <f t="shared" si="2"/>
        <v>0</v>
      </c>
      <c r="J11" s="1899"/>
      <c r="K11" s="1900">
        <f t="shared" si="3"/>
        <v>0</v>
      </c>
      <c r="L11" s="2007">
        <f t="shared" si="6"/>
        <v>2109</v>
      </c>
      <c r="M11" s="1898">
        <v>63.535734000000005</v>
      </c>
      <c r="N11" s="1948">
        <f t="shared" si="6"/>
        <v>2109</v>
      </c>
      <c r="O11" s="1949">
        <v>63.535734000000005</v>
      </c>
      <c r="Q11" s="401"/>
      <c r="R11" s="400"/>
    </row>
    <row r="12" spans="1:18" s="3" customFormat="1" ht="15" customHeight="1" hidden="1">
      <c r="A12" s="2025"/>
      <c r="B12" s="1918" t="s">
        <v>1241</v>
      </c>
      <c r="C12" s="1926" t="s">
        <v>1250</v>
      </c>
      <c r="D12" s="1897">
        <v>1520</v>
      </c>
      <c r="E12" s="1898">
        <v>2281</v>
      </c>
      <c r="F12" s="1898">
        <v>935</v>
      </c>
      <c r="G12" s="2086">
        <v>1005</v>
      </c>
      <c r="H12" s="1948"/>
      <c r="I12" s="2089">
        <f t="shared" si="2"/>
        <v>0</v>
      </c>
      <c r="J12" s="1899"/>
      <c r="K12" s="1900">
        <f t="shared" si="3"/>
        <v>0</v>
      </c>
      <c r="L12" s="2007">
        <f t="shared" si="6"/>
        <v>14970.457412202084</v>
      </c>
      <c r="M12" s="1898">
        <v>451</v>
      </c>
      <c r="N12" s="1948">
        <f t="shared" si="6"/>
        <v>15999.468897298015</v>
      </c>
      <c r="O12" s="1949">
        <v>482</v>
      </c>
      <c r="Q12" s="401"/>
      <c r="R12" s="400"/>
    </row>
    <row r="13" spans="1:18" s="3" customFormat="1" ht="15" customHeight="1" hidden="1">
      <c r="A13" s="2025"/>
      <c r="B13" s="1918" t="s">
        <v>1241</v>
      </c>
      <c r="C13" s="1926" t="s">
        <v>1251</v>
      </c>
      <c r="D13" s="1897"/>
      <c r="E13" s="1898"/>
      <c r="F13" s="1898"/>
      <c r="G13" s="2086"/>
      <c r="H13" s="1948"/>
      <c r="I13" s="2089">
        <f t="shared" si="2"/>
        <v>0</v>
      </c>
      <c r="J13" s="1899"/>
      <c r="K13" s="1900">
        <f t="shared" si="3"/>
        <v>0</v>
      </c>
      <c r="L13" s="2007">
        <f t="shared" si="6"/>
        <v>7000</v>
      </c>
      <c r="M13" s="1898">
        <v>210.882</v>
      </c>
      <c r="N13" s="1948">
        <f t="shared" si="6"/>
        <v>7000</v>
      </c>
      <c r="O13" s="1949">
        <v>210.882</v>
      </c>
      <c r="Q13" s="401"/>
      <c r="R13" s="400"/>
    </row>
    <row r="14" spans="1:18" s="3" customFormat="1" ht="15" customHeight="1" hidden="1">
      <c r="A14" s="2025"/>
      <c r="B14" s="1918" t="s">
        <v>1241</v>
      </c>
      <c r="C14" s="1926" t="s">
        <v>1252</v>
      </c>
      <c r="D14" s="1897">
        <v>578</v>
      </c>
      <c r="E14" s="1898">
        <v>402</v>
      </c>
      <c r="F14" s="1898">
        <v>429</v>
      </c>
      <c r="G14" s="2086">
        <v>593</v>
      </c>
      <c r="H14" s="1948"/>
      <c r="I14" s="2089">
        <f t="shared" si="2"/>
        <v>0</v>
      </c>
      <c r="J14" s="1899"/>
      <c r="K14" s="1900">
        <f t="shared" si="3"/>
        <v>0</v>
      </c>
      <c r="L14" s="2007">
        <f t="shared" si="6"/>
        <v>8000</v>
      </c>
      <c r="M14" s="1898">
        <v>241.008</v>
      </c>
      <c r="N14" s="1948">
        <f t="shared" si="6"/>
        <v>8000</v>
      </c>
      <c r="O14" s="1949">
        <v>241.008</v>
      </c>
      <c r="Q14" s="401"/>
      <c r="R14" s="400"/>
    </row>
    <row r="15" spans="1:18" s="3" customFormat="1" ht="15" customHeight="1">
      <c r="A15" s="2025" t="s">
        <v>442</v>
      </c>
      <c r="B15" s="1918" t="s">
        <v>1241</v>
      </c>
      <c r="C15" s="1924" t="s">
        <v>1253</v>
      </c>
      <c r="D15" s="1897">
        <v>1087</v>
      </c>
      <c r="E15" s="1898">
        <v>1052</v>
      </c>
      <c r="F15" s="1898">
        <v>1257</v>
      </c>
      <c r="G15" s="2086">
        <v>1281</v>
      </c>
      <c r="H15" s="1948">
        <v>43152</v>
      </c>
      <c r="I15" s="2089">
        <f t="shared" si="2"/>
        <v>1299.997152</v>
      </c>
      <c r="J15" s="1899">
        <v>43152</v>
      </c>
      <c r="K15" s="1900">
        <f t="shared" si="3"/>
        <v>1299.997152</v>
      </c>
      <c r="L15" s="2007">
        <f t="shared" si="6"/>
        <v>43152</v>
      </c>
      <c r="M15" s="1898">
        <v>1299.997152</v>
      </c>
      <c r="N15" s="1948">
        <f t="shared" si="6"/>
        <v>43152</v>
      </c>
      <c r="O15" s="1949">
        <v>1299.997152</v>
      </c>
      <c r="Q15" s="401"/>
      <c r="R15" s="400"/>
    </row>
    <row r="16" spans="1:18" s="3" customFormat="1" ht="15" customHeight="1">
      <c r="A16" s="2025" t="s">
        <v>446</v>
      </c>
      <c r="B16" s="1918" t="s">
        <v>1241</v>
      </c>
      <c r="C16" s="1924" t="s">
        <v>1254</v>
      </c>
      <c r="D16" s="1897">
        <v>126</v>
      </c>
      <c r="E16" s="1898">
        <v>98</v>
      </c>
      <c r="F16" s="1898">
        <v>118</v>
      </c>
      <c r="G16" s="2086">
        <v>89</v>
      </c>
      <c r="H16" s="1948">
        <v>3319</v>
      </c>
      <c r="I16" s="2089">
        <f t="shared" si="2"/>
        <v>99.98819400000001</v>
      </c>
      <c r="J16" s="1899">
        <v>3000</v>
      </c>
      <c r="K16" s="1900">
        <f t="shared" si="3"/>
        <v>90.378</v>
      </c>
      <c r="L16" s="2007">
        <f t="shared" si="6"/>
        <v>3000</v>
      </c>
      <c r="M16" s="1898">
        <v>90.378</v>
      </c>
      <c r="N16" s="1948">
        <f t="shared" si="6"/>
        <v>3000</v>
      </c>
      <c r="O16" s="1949">
        <v>90.378</v>
      </c>
      <c r="Q16" s="401"/>
      <c r="R16" s="400"/>
    </row>
    <row r="17" spans="1:18" s="3" customFormat="1" ht="15" customHeight="1">
      <c r="A17" s="2025" t="s">
        <v>449</v>
      </c>
      <c r="B17" s="1918" t="s">
        <v>1241</v>
      </c>
      <c r="C17" s="1924" t="s">
        <v>1255</v>
      </c>
      <c r="D17" s="1897">
        <v>3544</v>
      </c>
      <c r="E17" s="1898">
        <v>2374</v>
      </c>
      <c r="F17" s="1898">
        <v>2236</v>
      </c>
      <c r="G17" s="2086">
        <v>3054</v>
      </c>
      <c r="H17" s="1948">
        <v>82985</v>
      </c>
      <c r="I17" s="2089">
        <f t="shared" si="2"/>
        <v>2500.00611</v>
      </c>
      <c r="J17" s="1899">
        <v>99582</v>
      </c>
      <c r="K17" s="1900">
        <f t="shared" si="3"/>
        <v>3000.007332</v>
      </c>
      <c r="L17" s="2007">
        <f t="shared" si="6"/>
        <v>99581.75662218682</v>
      </c>
      <c r="M17" s="1898">
        <v>3000</v>
      </c>
      <c r="N17" s="1948">
        <f t="shared" si="6"/>
        <v>99581.75662218682</v>
      </c>
      <c r="O17" s="1949">
        <v>3000</v>
      </c>
      <c r="P17" s="7"/>
      <c r="Q17" s="401"/>
      <c r="R17" s="400"/>
    </row>
    <row r="18" spans="1:18" s="3" customFormat="1" ht="15" customHeight="1">
      <c r="A18" s="2025" t="s">
        <v>1256</v>
      </c>
      <c r="B18" s="1918" t="s">
        <v>1241</v>
      </c>
      <c r="C18" s="1924" t="s">
        <v>1257</v>
      </c>
      <c r="D18" s="1897">
        <v>51</v>
      </c>
      <c r="E18" s="1898">
        <v>51</v>
      </c>
      <c r="F18" s="1898">
        <v>47</v>
      </c>
      <c r="G18" s="2086">
        <v>43</v>
      </c>
      <c r="H18" s="1948">
        <v>1693</v>
      </c>
      <c r="I18" s="2089">
        <f t="shared" si="2"/>
        <v>51.003318</v>
      </c>
      <c r="J18" s="1899">
        <v>1108</v>
      </c>
      <c r="K18" s="1900">
        <f t="shared" si="3"/>
        <v>33.379608</v>
      </c>
      <c r="L18" s="2007">
        <f t="shared" si="6"/>
        <v>1108</v>
      </c>
      <c r="M18" s="1898">
        <v>33.379608</v>
      </c>
      <c r="N18" s="1948">
        <f t="shared" si="6"/>
        <v>1108</v>
      </c>
      <c r="O18" s="1949">
        <v>33.379608</v>
      </c>
      <c r="Q18" s="401"/>
      <c r="R18" s="400"/>
    </row>
    <row r="19" spans="1:18" s="3" customFormat="1" ht="15" customHeight="1">
      <c r="A19" s="2023" t="s">
        <v>1258</v>
      </c>
      <c r="B19" s="1918" t="s">
        <v>1241</v>
      </c>
      <c r="C19" s="1924" t="s">
        <v>1259</v>
      </c>
      <c r="D19" s="1897">
        <v>41607</v>
      </c>
      <c r="E19" s="1898">
        <v>42333</v>
      </c>
      <c r="F19" s="1898">
        <v>43674</v>
      </c>
      <c r="G19" s="2086">
        <v>60561</v>
      </c>
      <c r="H19" s="1948">
        <v>2020000</v>
      </c>
      <c r="I19" s="2089">
        <f t="shared" si="2"/>
        <v>60854.52</v>
      </c>
      <c r="J19" s="1899">
        <v>2000000</v>
      </c>
      <c r="K19" s="1900">
        <f t="shared" si="3"/>
        <v>60252</v>
      </c>
      <c r="L19" s="2007">
        <f t="shared" si="6"/>
        <v>2000000</v>
      </c>
      <c r="M19" s="1898">
        <v>60252</v>
      </c>
      <c r="N19" s="1948">
        <f t="shared" si="6"/>
        <v>2000000</v>
      </c>
      <c r="O19" s="1949">
        <v>60252</v>
      </c>
      <c r="Q19" s="401"/>
      <c r="R19" s="400"/>
    </row>
    <row r="20" spans="1:18" s="3" customFormat="1" ht="15" customHeight="1">
      <c r="A20" s="2025" t="s">
        <v>1260</v>
      </c>
      <c r="B20" s="1918" t="s">
        <v>1241</v>
      </c>
      <c r="C20" s="1927" t="s">
        <v>1261</v>
      </c>
      <c r="D20" s="1897">
        <v>1431</v>
      </c>
      <c r="E20" s="1898">
        <v>1431</v>
      </c>
      <c r="F20" s="1898">
        <v>2862</v>
      </c>
      <c r="G20" s="2086">
        <v>1431</v>
      </c>
      <c r="H20" s="1948">
        <v>47492</v>
      </c>
      <c r="I20" s="2089">
        <f t="shared" si="2"/>
        <v>1430.7439920000002</v>
      </c>
      <c r="J20" s="1899">
        <v>47467</v>
      </c>
      <c r="K20" s="1900">
        <f t="shared" si="3"/>
        <v>1429.990842</v>
      </c>
      <c r="L20" s="2007">
        <f t="shared" si="6"/>
        <v>47466.99999999999</v>
      </c>
      <c r="M20" s="1898">
        <v>1429.990842</v>
      </c>
      <c r="N20" s="1948">
        <f t="shared" si="6"/>
        <v>47466.99999999999</v>
      </c>
      <c r="O20" s="1949">
        <v>1429.990842</v>
      </c>
      <c r="Q20" s="401"/>
      <c r="R20" s="400"/>
    </row>
    <row r="21" spans="1:18" s="3" customFormat="1" ht="15" customHeight="1">
      <c r="A21" s="2025" t="s">
        <v>1262</v>
      </c>
      <c r="B21" s="1918" t="s">
        <v>1241</v>
      </c>
      <c r="C21" s="1927" t="s">
        <v>763</v>
      </c>
      <c r="D21" s="1897">
        <v>1087</v>
      </c>
      <c r="E21" s="1898">
        <v>0</v>
      </c>
      <c r="F21" s="1898">
        <v>0</v>
      </c>
      <c r="G21" s="2086">
        <v>136</v>
      </c>
      <c r="H21" s="1948">
        <v>860</v>
      </c>
      <c r="I21" s="2089">
        <f t="shared" si="2"/>
        <v>25.908360000000002</v>
      </c>
      <c r="J21" s="1899"/>
      <c r="K21" s="1900"/>
      <c r="L21" s="2007"/>
      <c r="M21" s="1898"/>
      <c r="N21" s="1948"/>
      <c r="O21" s="1949"/>
      <c r="Q21" s="401"/>
      <c r="R21" s="400"/>
    </row>
    <row r="22" spans="1:18" s="3" customFormat="1" ht="15" customHeight="1">
      <c r="A22" s="2025" t="s">
        <v>1263</v>
      </c>
      <c r="B22" s="1918" t="s">
        <v>1241</v>
      </c>
      <c r="C22" s="1927" t="s">
        <v>1264</v>
      </c>
      <c r="D22" s="1897">
        <v>0</v>
      </c>
      <c r="E22" s="1898">
        <v>0</v>
      </c>
      <c r="F22" s="1898">
        <v>0</v>
      </c>
      <c r="G22" s="2086">
        <v>10115</v>
      </c>
      <c r="H22" s="1948">
        <v>398327</v>
      </c>
      <c r="I22" s="2089">
        <f t="shared" si="2"/>
        <v>11999.999201999999</v>
      </c>
      <c r="J22" s="1899">
        <v>450000</v>
      </c>
      <c r="K22" s="1900">
        <f t="shared" si="3"/>
        <v>13556.7</v>
      </c>
      <c r="L22" s="2007">
        <f t="shared" si="6"/>
        <v>450000</v>
      </c>
      <c r="M22" s="1898">
        <v>13556.7</v>
      </c>
      <c r="N22" s="1948">
        <f t="shared" si="6"/>
        <v>450000</v>
      </c>
      <c r="O22" s="1949">
        <v>13556.7</v>
      </c>
      <c r="Q22" s="401"/>
      <c r="R22" s="400"/>
    </row>
    <row r="23" spans="1:18" s="402" customFormat="1" ht="15" customHeight="1">
      <c r="A23" s="2024" t="s">
        <v>1265</v>
      </c>
      <c r="B23" s="1917" t="s">
        <v>1241</v>
      </c>
      <c r="C23" s="1923" t="s">
        <v>1266</v>
      </c>
      <c r="D23" s="1893">
        <f aca="true" t="shared" si="7" ref="D23:O23">SUM(D24:D29)</f>
        <v>15607</v>
      </c>
      <c r="E23" s="1894">
        <f t="shared" si="7"/>
        <v>19499</v>
      </c>
      <c r="F23" s="1894">
        <f t="shared" si="7"/>
        <v>23233</v>
      </c>
      <c r="G23" s="2085">
        <f t="shared" si="7"/>
        <v>24854</v>
      </c>
      <c r="H23" s="1946">
        <v>823209</v>
      </c>
      <c r="I23" s="2105">
        <f t="shared" si="2"/>
        <v>24799.994334000003</v>
      </c>
      <c r="J23" s="1895">
        <v>783068</v>
      </c>
      <c r="K23" s="1896">
        <f t="shared" si="3"/>
        <v>23590.706568</v>
      </c>
      <c r="L23" s="2099">
        <f>M23*1000/30.126</f>
        <v>783067.8483701786</v>
      </c>
      <c r="M23" s="1894">
        <f t="shared" si="7"/>
        <v>23590.702</v>
      </c>
      <c r="N23" s="1946">
        <f>O23*1000/30.126</f>
        <v>783067.8483701786</v>
      </c>
      <c r="O23" s="1947">
        <f t="shared" si="7"/>
        <v>23590.702</v>
      </c>
      <c r="Q23" s="401"/>
      <c r="R23" s="400"/>
    </row>
    <row r="24" spans="1:18" s="3" customFormat="1" ht="15" customHeight="1" hidden="1">
      <c r="A24" s="2023"/>
      <c r="B24" s="1918" t="s">
        <v>1241</v>
      </c>
      <c r="C24" s="1926" t="s">
        <v>1267</v>
      </c>
      <c r="D24" s="1897">
        <v>12275</v>
      </c>
      <c r="E24" s="1898">
        <v>15866</v>
      </c>
      <c r="F24" s="1898">
        <v>19336</v>
      </c>
      <c r="G24" s="2086">
        <v>20960</v>
      </c>
      <c r="H24" s="1946"/>
      <c r="I24" s="2105">
        <f t="shared" si="2"/>
        <v>0</v>
      </c>
      <c r="J24" s="1899"/>
      <c r="K24" s="1900">
        <f t="shared" si="3"/>
        <v>0</v>
      </c>
      <c r="L24" s="2099">
        <f aca="true" t="shared" si="8" ref="L24:N35">M24*1000/30.126</f>
        <v>663878.3774812454</v>
      </c>
      <c r="M24" s="1898">
        <v>20000</v>
      </c>
      <c r="N24" s="1946">
        <f t="shared" si="8"/>
        <v>663878.3774812454</v>
      </c>
      <c r="O24" s="1949">
        <v>20000</v>
      </c>
      <c r="Q24" s="401"/>
      <c r="R24" s="400"/>
    </row>
    <row r="25" spans="1:18" s="3" customFormat="1" ht="15" customHeight="1" hidden="1">
      <c r="A25" s="2023"/>
      <c r="B25" s="1918" t="s">
        <v>1241</v>
      </c>
      <c r="C25" s="1926" t="s">
        <v>1268</v>
      </c>
      <c r="D25" s="1897">
        <v>1145</v>
      </c>
      <c r="E25" s="1898">
        <v>1160</v>
      </c>
      <c r="F25" s="1898">
        <v>1182</v>
      </c>
      <c r="G25" s="2086">
        <v>1205</v>
      </c>
      <c r="H25" s="1946"/>
      <c r="I25" s="2105">
        <f t="shared" si="2"/>
        <v>0</v>
      </c>
      <c r="J25" s="1899"/>
      <c r="K25" s="1900">
        <f t="shared" si="3"/>
        <v>0</v>
      </c>
      <c r="L25" s="2099">
        <f t="shared" si="8"/>
        <v>30000</v>
      </c>
      <c r="M25" s="1898">
        <v>903.78</v>
      </c>
      <c r="N25" s="1946">
        <f t="shared" si="8"/>
        <v>30000</v>
      </c>
      <c r="O25" s="1949">
        <v>903.78</v>
      </c>
      <c r="Q25" s="401"/>
      <c r="R25" s="400"/>
    </row>
    <row r="26" spans="1:18" s="3" customFormat="1" ht="15" customHeight="1" hidden="1">
      <c r="A26" s="2023"/>
      <c r="B26" s="1918" t="s">
        <v>1241</v>
      </c>
      <c r="C26" s="1926" t="s">
        <v>1269</v>
      </c>
      <c r="D26" s="1897">
        <v>2187</v>
      </c>
      <c r="E26" s="1898">
        <v>1633</v>
      </c>
      <c r="F26" s="1898">
        <v>965</v>
      </c>
      <c r="G26" s="2086">
        <v>1818</v>
      </c>
      <c r="H26" s="1946"/>
      <c r="I26" s="2105">
        <f t="shared" si="2"/>
        <v>0</v>
      </c>
      <c r="J26" s="1899"/>
      <c r="K26" s="1900">
        <f t="shared" si="3"/>
        <v>0</v>
      </c>
      <c r="L26" s="2099">
        <f t="shared" si="8"/>
        <v>22000</v>
      </c>
      <c r="M26" s="1898">
        <v>662.772</v>
      </c>
      <c r="N26" s="1946">
        <f t="shared" si="8"/>
        <v>22000</v>
      </c>
      <c r="O26" s="1949">
        <v>662.772</v>
      </c>
      <c r="Q26" s="401"/>
      <c r="R26" s="400"/>
    </row>
    <row r="27" spans="1:18" s="3" customFormat="1" ht="15" customHeight="1" hidden="1">
      <c r="A27" s="2023"/>
      <c r="B27" s="1918" t="s">
        <v>1241</v>
      </c>
      <c r="C27" s="1926" t="s">
        <v>1270</v>
      </c>
      <c r="D27" s="1897"/>
      <c r="E27" s="1898"/>
      <c r="F27" s="1898">
        <v>691</v>
      </c>
      <c r="G27" s="2086"/>
      <c r="H27" s="1946"/>
      <c r="I27" s="2105">
        <f t="shared" si="2"/>
        <v>0</v>
      </c>
      <c r="J27" s="1899"/>
      <c r="K27" s="1900">
        <f t="shared" si="3"/>
        <v>0</v>
      </c>
      <c r="L27" s="2099">
        <f t="shared" si="8"/>
        <v>25000</v>
      </c>
      <c r="M27" s="1898">
        <v>753.15</v>
      </c>
      <c r="N27" s="1946">
        <f t="shared" si="8"/>
        <v>25000</v>
      </c>
      <c r="O27" s="1949">
        <v>753.15</v>
      </c>
      <c r="Q27" s="401"/>
      <c r="R27" s="400"/>
    </row>
    <row r="28" spans="1:18" s="3" customFormat="1" ht="15" customHeight="1" hidden="1">
      <c r="A28" s="2023"/>
      <c r="B28" s="1918" t="s">
        <v>1241</v>
      </c>
      <c r="C28" s="1926" t="s">
        <v>1271</v>
      </c>
      <c r="D28" s="1897"/>
      <c r="E28" s="1898"/>
      <c r="F28" s="1898"/>
      <c r="G28" s="2086"/>
      <c r="H28" s="1946"/>
      <c r="I28" s="2105">
        <f t="shared" si="2"/>
        <v>0</v>
      </c>
      <c r="J28" s="1899"/>
      <c r="K28" s="1900">
        <f t="shared" si="3"/>
        <v>0</v>
      </c>
      <c r="L28" s="2099">
        <f t="shared" si="8"/>
        <v>8995.552014870875</v>
      </c>
      <c r="M28" s="1898">
        <v>271</v>
      </c>
      <c r="N28" s="1946">
        <f t="shared" si="8"/>
        <v>8995.552014870875</v>
      </c>
      <c r="O28" s="1949">
        <v>271</v>
      </c>
      <c r="Q28" s="401"/>
      <c r="R28" s="400"/>
    </row>
    <row r="29" spans="1:18" s="3" customFormat="1" ht="15" customHeight="1" hidden="1">
      <c r="A29" s="2023"/>
      <c r="B29" s="1918" t="s">
        <v>1241</v>
      </c>
      <c r="C29" s="1926" t="s">
        <v>1272</v>
      </c>
      <c r="D29" s="1897"/>
      <c r="E29" s="1898">
        <v>840</v>
      </c>
      <c r="F29" s="1898">
        <v>1059</v>
      </c>
      <c r="G29" s="2086">
        <v>871</v>
      </c>
      <c r="H29" s="1946"/>
      <c r="I29" s="2105">
        <f t="shared" si="2"/>
        <v>0</v>
      </c>
      <c r="J29" s="1899"/>
      <c r="K29" s="1900">
        <f t="shared" si="3"/>
        <v>0</v>
      </c>
      <c r="L29" s="2099">
        <f t="shared" si="8"/>
        <v>33193.91887406227</v>
      </c>
      <c r="M29" s="1898">
        <v>1000</v>
      </c>
      <c r="N29" s="1946">
        <f t="shared" si="8"/>
        <v>33193.91887406227</v>
      </c>
      <c r="O29" s="1949">
        <v>1000</v>
      </c>
      <c r="Q29" s="401"/>
      <c r="R29" s="400"/>
    </row>
    <row r="30" spans="1:18" s="402" customFormat="1" ht="15" customHeight="1">
      <c r="A30" s="2024" t="s">
        <v>1273</v>
      </c>
      <c r="B30" s="1917" t="s">
        <v>1241</v>
      </c>
      <c r="C30" s="1923" t="s">
        <v>1274</v>
      </c>
      <c r="D30" s="1893">
        <v>3490</v>
      </c>
      <c r="E30" s="1894">
        <v>6539</v>
      </c>
      <c r="F30" s="1894">
        <v>11137</v>
      </c>
      <c r="G30" s="2085">
        <v>19413</v>
      </c>
      <c r="H30" s="1946">
        <v>562000</v>
      </c>
      <c r="I30" s="2105">
        <f t="shared" si="2"/>
        <v>16930.812</v>
      </c>
      <c r="J30" s="1895">
        <v>450010</v>
      </c>
      <c r="K30" s="1896">
        <f t="shared" si="3"/>
        <v>13557.00126</v>
      </c>
      <c r="L30" s="2099">
        <f t="shared" si="8"/>
        <v>450009.9581756622</v>
      </c>
      <c r="M30" s="1894">
        <v>13557</v>
      </c>
      <c r="N30" s="1946">
        <f t="shared" si="8"/>
        <v>450009.9581756622</v>
      </c>
      <c r="O30" s="1947">
        <v>13557</v>
      </c>
      <c r="Q30" s="401"/>
      <c r="R30" s="400"/>
    </row>
    <row r="31" spans="1:18" s="402" customFormat="1" ht="15" customHeight="1">
      <c r="A31" s="2024" t="s">
        <v>1275</v>
      </c>
      <c r="B31" s="1917" t="s">
        <v>1241</v>
      </c>
      <c r="C31" s="1923" t="s">
        <v>1276</v>
      </c>
      <c r="D31" s="1893">
        <v>2705</v>
      </c>
      <c r="E31" s="1894">
        <v>2928</v>
      </c>
      <c r="F31" s="1894">
        <v>3550</v>
      </c>
      <c r="G31" s="2085">
        <f>SUM(G32:G35)</f>
        <v>2809</v>
      </c>
      <c r="H31" s="1946">
        <v>99582</v>
      </c>
      <c r="I31" s="2105">
        <f t="shared" si="2"/>
        <v>3000.007332</v>
      </c>
      <c r="J31" s="1895">
        <v>85000</v>
      </c>
      <c r="K31" s="1896">
        <f t="shared" si="3"/>
        <v>2560.71</v>
      </c>
      <c r="L31" s="2099">
        <f t="shared" si="8"/>
        <v>89999.99999999999</v>
      </c>
      <c r="M31" s="1894">
        <f>SUM(M32:M35)</f>
        <v>2711.3399999999997</v>
      </c>
      <c r="N31" s="1946">
        <f t="shared" si="8"/>
        <v>95000</v>
      </c>
      <c r="O31" s="1947">
        <f>SUM(O32:O35)</f>
        <v>2861.97</v>
      </c>
      <c r="Q31" s="401"/>
      <c r="R31" s="400"/>
    </row>
    <row r="32" spans="1:18" s="402" customFormat="1" ht="15" customHeight="1" hidden="1">
      <c r="A32" s="2024"/>
      <c r="B32" s="1917" t="s">
        <v>1241</v>
      </c>
      <c r="C32" s="1928" t="s">
        <v>1277</v>
      </c>
      <c r="D32" s="1893"/>
      <c r="E32" s="1894"/>
      <c r="F32" s="1894"/>
      <c r="G32" s="2086">
        <v>2066</v>
      </c>
      <c r="H32" s="1948"/>
      <c r="I32" s="2089">
        <f t="shared" si="2"/>
        <v>0</v>
      </c>
      <c r="J32" s="1899"/>
      <c r="K32" s="1900">
        <f t="shared" si="3"/>
        <v>0</v>
      </c>
      <c r="L32" s="2099">
        <f t="shared" si="8"/>
        <v>70000</v>
      </c>
      <c r="M32" s="1898">
        <v>2108.82</v>
      </c>
      <c r="N32" s="1946">
        <f t="shared" si="8"/>
        <v>75000</v>
      </c>
      <c r="O32" s="1949">
        <v>2259.45</v>
      </c>
      <c r="Q32" s="401"/>
      <c r="R32" s="400"/>
    </row>
    <row r="33" spans="1:18" s="3" customFormat="1" ht="15" customHeight="1" hidden="1">
      <c r="A33" s="2023"/>
      <c r="B33" s="1918" t="s">
        <v>1241</v>
      </c>
      <c r="C33" s="1928" t="s">
        <v>1278</v>
      </c>
      <c r="D33" s="1897"/>
      <c r="E33" s="1898"/>
      <c r="F33" s="1898"/>
      <c r="G33" s="2086">
        <v>602</v>
      </c>
      <c r="H33" s="1948"/>
      <c r="I33" s="2089">
        <f t="shared" si="2"/>
        <v>0</v>
      </c>
      <c r="J33" s="1899"/>
      <c r="K33" s="1900">
        <f t="shared" si="3"/>
        <v>0</v>
      </c>
      <c r="L33" s="2099">
        <f t="shared" si="8"/>
        <v>10000</v>
      </c>
      <c r="M33" s="1898">
        <v>301.26</v>
      </c>
      <c r="N33" s="1946">
        <f t="shared" si="8"/>
        <v>10000</v>
      </c>
      <c r="O33" s="1949">
        <v>301.26</v>
      </c>
      <c r="Q33" s="401"/>
      <c r="R33" s="400"/>
    </row>
    <row r="34" spans="1:18" s="3" customFormat="1" ht="15" customHeight="1" hidden="1">
      <c r="A34" s="2023"/>
      <c r="B34" s="1918" t="s">
        <v>1241</v>
      </c>
      <c r="C34" s="1928" t="s">
        <v>1279</v>
      </c>
      <c r="D34" s="1897"/>
      <c r="E34" s="1898"/>
      <c r="F34" s="1898"/>
      <c r="G34" s="2086">
        <v>141</v>
      </c>
      <c r="H34" s="1948"/>
      <c r="I34" s="2089">
        <f t="shared" si="2"/>
        <v>0</v>
      </c>
      <c r="J34" s="1899"/>
      <c r="K34" s="1900">
        <f t="shared" si="3"/>
        <v>0</v>
      </c>
      <c r="L34" s="2099">
        <f t="shared" si="8"/>
        <v>4000</v>
      </c>
      <c r="M34" s="1898">
        <v>120.504</v>
      </c>
      <c r="N34" s="1946">
        <f t="shared" si="8"/>
        <v>4000</v>
      </c>
      <c r="O34" s="1949">
        <v>120.504</v>
      </c>
      <c r="Q34" s="401"/>
      <c r="R34" s="400"/>
    </row>
    <row r="35" spans="1:18" s="3" customFormat="1" ht="15" customHeight="1" hidden="1">
      <c r="A35" s="2023"/>
      <c r="B35" s="1918" t="s">
        <v>1241</v>
      </c>
      <c r="C35" s="1928" t="s">
        <v>1280</v>
      </c>
      <c r="D35" s="1897"/>
      <c r="E35" s="1898"/>
      <c r="F35" s="1898"/>
      <c r="G35" s="2086"/>
      <c r="H35" s="1948"/>
      <c r="I35" s="2089">
        <f t="shared" si="2"/>
        <v>0</v>
      </c>
      <c r="J35" s="1899"/>
      <c r="K35" s="1900">
        <f t="shared" si="3"/>
        <v>0</v>
      </c>
      <c r="L35" s="2099">
        <f t="shared" si="8"/>
        <v>6000</v>
      </c>
      <c r="M35" s="1898">
        <v>180.756</v>
      </c>
      <c r="N35" s="1946">
        <f t="shared" si="8"/>
        <v>6000</v>
      </c>
      <c r="O35" s="1949">
        <v>180.756</v>
      </c>
      <c r="Q35" s="401"/>
      <c r="R35" s="400"/>
    </row>
    <row r="36" spans="1:18" s="402" customFormat="1" ht="15" customHeight="1">
      <c r="A36" s="2026" t="s">
        <v>1281</v>
      </c>
      <c r="B36" s="1919" t="s">
        <v>1241</v>
      </c>
      <c r="C36" s="1929" t="s">
        <v>1282</v>
      </c>
      <c r="D36" s="1902">
        <v>0</v>
      </c>
      <c r="E36" s="1903">
        <v>332</v>
      </c>
      <c r="F36" s="1903">
        <v>1066</v>
      </c>
      <c r="G36" s="2087">
        <v>146</v>
      </c>
      <c r="H36" s="1950">
        <v>46471</v>
      </c>
      <c r="I36" s="2106">
        <f t="shared" si="2"/>
        <v>1399.9853460000002</v>
      </c>
      <c r="J36" s="1904">
        <v>6606</v>
      </c>
      <c r="K36" s="1905">
        <f t="shared" si="3"/>
        <v>199.012356</v>
      </c>
      <c r="L36" s="2100">
        <f>M36*1000/30.126</f>
        <v>6605.589855938392</v>
      </c>
      <c r="M36" s="1903">
        <v>199</v>
      </c>
      <c r="N36" s="1950">
        <f>O36*1000/30.126</f>
        <v>6605.589855938392</v>
      </c>
      <c r="O36" s="1951">
        <v>199</v>
      </c>
      <c r="Q36" s="401"/>
      <c r="R36" s="400"/>
    </row>
    <row r="37" spans="1:17" s="400" customFormat="1" ht="20.25" customHeight="1">
      <c r="A37" s="2210" t="s">
        <v>796</v>
      </c>
      <c r="B37" s="2211" t="s">
        <v>1241</v>
      </c>
      <c r="C37" s="2212" t="s">
        <v>1283</v>
      </c>
      <c r="D37" s="2213">
        <f>SUM(D39+D50+D56+D57+D76)</f>
        <v>98508</v>
      </c>
      <c r="E37" s="2214">
        <f>SUM(E39+E50+E56+E57+E76)</f>
        <v>247062</v>
      </c>
      <c r="F37" s="2214">
        <f>SUM(F39+F50+F56+F57+F76)</f>
        <v>283684</v>
      </c>
      <c r="G37" s="2215">
        <f>SUM(G39+G50+G56+G57+G76)</f>
        <v>214131</v>
      </c>
      <c r="H37" s="2214">
        <f aca="true" t="shared" si="9" ref="H37:O37">H38+H75</f>
        <v>5125993</v>
      </c>
      <c r="I37" s="2215">
        <f t="shared" si="9"/>
        <v>154425.665118</v>
      </c>
      <c r="J37" s="2216">
        <f t="shared" si="9"/>
        <v>4651647</v>
      </c>
      <c r="K37" s="2217">
        <f t="shared" si="9"/>
        <v>140135.517522</v>
      </c>
      <c r="L37" s="2213">
        <f t="shared" si="9"/>
        <v>4469933.782115117</v>
      </c>
      <c r="M37" s="2214">
        <f t="shared" si="9"/>
        <v>134661.22512</v>
      </c>
      <c r="N37" s="2214">
        <f t="shared" si="9"/>
        <v>4244643.782115116</v>
      </c>
      <c r="O37" s="2218">
        <f t="shared" si="9"/>
        <v>127874.13858</v>
      </c>
      <c r="P37" s="1967"/>
      <c r="Q37" s="401"/>
    </row>
    <row r="38" spans="1:17" s="1883" customFormat="1" ht="19.5" customHeight="1">
      <c r="A38" s="1962"/>
      <c r="B38" s="1968"/>
      <c r="C38" s="1938" t="s">
        <v>876</v>
      </c>
      <c r="D38" s="1939"/>
      <c r="E38" s="1940"/>
      <c r="F38" s="1940"/>
      <c r="G38" s="2083"/>
      <c r="H38" s="1940">
        <f>H39+H50+H56+H57</f>
        <v>4097402</v>
      </c>
      <c r="I38" s="2083">
        <f aca="true" t="shared" si="10" ref="I38:O38">I39+I50+I56+I57</f>
        <v>123438.332652</v>
      </c>
      <c r="J38" s="1942">
        <f t="shared" si="10"/>
        <v>3851647</v>
      </c>
      <c r="K38" s="1941">
        <f t="shared" si="10"/>
        <v>116034.71752200002</v>
      </c>
      <c r="L38" s="1939">
        <f t="shared" si="10"/>
        <v>3669933.7821151167</v>
      </c>
      <c r="M38" s="1940">
        <f t="shared" si="10"/>
        <v>110560.42512</v>
      </c>
      <c r="N38" s="1940">
        <f t="shared" si="10"/>
        <v>3444643.782115116</v>
      </c>
      <c r="O38" s="1953">
        <f t="shared" si="10"/>
        <v>103773.33858</v>
      </c>
      <c r="Q38" s="1884"/>
    </row>
    <row r="39" spans="1:17" s="402" customFormat="1" ht="15" customHeight="1">
      <c r="A39" s="2022" t="s">
        <v>1243</v>
      </c>
      <c r="B39" s="1983" t="s">
        <v>1241</v>
      </c>
      <c r="C39" s="1984" t="s">
        <v>1284</v>
      </c>
      <c r="D39" s="1985">
        <f aca="true" t="shared" si="11" ref="D39:O39">SUM(D40:D49)</f>
        <v>8914</v>
      </c>
      <c r="E39" s="1986">
        <f t="shared" si="11"/>
        <v>12827</v>
      </c>
      <c r="F39" s="1986">
        <f t="shared" si="11"/>
        <v>93247</v>
      </c>
      <c r="G39" s="2088">
        <f t="shared" si="11"/>
        <v>99459</v>
      </c>
      <c r="H39" s="1989">
        <v>2296050</v>
      </c>
      <c r="I39" s="2107">
        <f t="shared" si="2"/>
        <v>69170.8023</v>
      </c>
      <c r="J39" s="1987">
        <v>2427928</v>
      </c>
      <c r="K39" s="1988">
        <f t="shared" si="3"/>
        <v>73143.75892800001</v>
      </c>
      <c r="L39" s="2101">
        <f>M39*1000/30.126</f>
        <v>2395187.77003253</v>
      </c>
      <c r="M39" s="1986">
        <f t="shared" si="11"/>
        <v>72157.42676</v>
      </c>
      <c r="N39" s="1989">
        <f>O39*1000/30.126</f>
        <v>2168897.7700325297</v>
      </c>
      <c r="O39" s="1990">
        <f t="shared" si="11"/>
        <v>65340.214219999994</v>
      </c>
      <c r="Q39" s="401"/>
    </row>
    <row r="40" spans="1:17" s="3" customFormat="1" ht="15" customHeight="1" hidden="1">
      <c r="A40" s="2023"/>
      <c r="B40" s="1918" t="s">
        <v>1241</v>
      </c>
      <c r="C40" s="1906" t="s">
        <v>1285</v>
      </c>
      <c r="D40" s="1897">
        <v>2629</v>
      </c>
      <c r="E40" s="1898">
        <v>2552</v>
      </c>
      <c r="F40" s="1898">
        <v>2590</v>
      </c>
      <c r="G40" s="2086">
        <v>3569</v>
      </c>
      <c r="H40" s="1946"/>
      <c r="I40" s="2105">
        <f t="shared" si="2"/>
        <v>0</v>
      </c>
      <c r="J40" s="1899"/>
      <c r="K40" s="1900">
        <f t="shared" si="3"/>
        <v>0</v>
      </c>
      <c r="L40" s="2007"/>
      <c r="M40" s="1898">
        <f>70000*30.126/1000</f>
        <v>2108.82</v>
      </c>
      <c r="N40" s="1948"/>
      <c r="O40" s="1949">
        <f>70000*30.126/1000</f>
        <v>2108.82</v>
      </c>
      <c r="Q40" s="401"/>
    </row>
    <row r="41" spans="1:17" s="3" customFormat="1" ht="15" customHeight="1" hidden="1">
      <c r="A41" s="2023"/>
      <c r="B41" s="1920" t="s">
        <v>1241</v>
      </c>
      <c r="C41" s="1906" t="s">
        <v>1286</v>
      </c>
      <c r="D41" s="1897"/>
      <c r="E41" s="1898"/>
      <c r="F41" s="1898"/>
      <c r="G41" s="2086"/>
      <c r="H41" s="1946"/>
      <c r="I41" s="2105">
        <f t="shared" si="2"/>
        <v>0</v>
      </c>
      <c r="J41" s="1899"/>
      <c r="K41" s="1900">
        <f t="shared" si="3"/>
        <v>0</v>
      </c>
      <c r="L41" s="2007"/>
      <c r="M41" s="1898">
        <v>750</v>
      </c>
      <c r="N41" s="1948"/>
      <c r="O41" s="1949">
        <v>750</v>
      </c>
      <c r="Q41" s="401"/>
    </row>
    <row r="42" spans="1:17" s="3" customFormat="1" ht="15" customHeight="1" hidden="1">
      <c r="A42" s="2023"/>
      <c r="B42" s="1918" t="s">
        <v>1241</v>
      </c>
      <c r="C42" s="1906" t="s">
        <v>1287</v>
      </c>
      <c r="D42" s="1897"/>
      <c r="E42" s="1898"/>
      <c r="F42" s="1898"/>
      <c r="G42" s="2086"/>
      <c r="H42" s="1946"/>
      <c r="I42" s="2105">
        <f t="shared" si="2"/>
        <v>0</v>
      </c>
      <c r="J42" s="1899"/>
      <c r="K42" s="1900">
        <f t="shared" si="3"/>
        <v>0</v>
      </c>
      <c r="L42" s="2007"/>
      <c r="M42" s="1898">
        <v>1000</v>
      </c>
      <c r="N42" s="1948"/>
      <c r="O42" s="1949">
        <v>1000</v>
      </c>
      <c r="Q42" s="401"/>
    </row>
    <row r="43" spans="1:17" s="3" customFormat="1" ht="15" customHeight="1" hidden="1">
      <c r="A43" s="2023"/>
      <c r="B43" s="1918" t="s">
        <v>1241</v>
      </c>
      <c r="C43" s="1906" t="s">
        <v>1288</v>
      </c>
      <c r="D43" s="1897"/>
      <c r="E43" s="1898">
        <v>3667</v>
      </c>
      <c r="F43" s="1898">
        <v>3700</v>
      </c>
      <c r="G43" s="2086">
        <v>3859</v>
      </c>
      <c r="H43" s="1946"/>
      <c r="I43" s="2105">
        <f t="shared" si="2"/>
        <v>0</v>
      </c>
      <c r="J43" s="1899"/>
      <c r="K43" s="1900">
        <f t="shared" si="3"/>
        <v>0</v>
      </c>
      <c r="L43" s="2007"/>
      <c r="M43" s="1898">
        <v>3400</v>
      </c>
      <c r="N43" s="1948"/>
      <c r="O43" s="1949">
        <v>3400</v>
      </c>
      <c r="Q43" s="401"/>
    </row>
    <row r="44" spans="1:17" s="3" customFormat="1" ht="15" customHeight="1" hidden="1">
      <c r="A44" s="2023"/>
      <c r="B44" s="1918" t="s">
        <v>1241</v>
      </c>
      <c r="C44" s="1906" t="s">
        <v>1289</v>
      </c>
      <c r="D44" s="1897">
        <v>6285</v>
      </c>
      <c r="E44" s="1898">
        <v>6092</v>
      </c>
      <c r="F44" s="1898">
        <v>6379</v>
      </c>
      <c r="G44" s="2086">
        <v>7111</v>
      </c>
      <c r="H44" s="1946"/>
      <c r="I44" s="2105">
        <f t="shared" si="2"/>
        <v>0</v>
      </c>
      <c r="J44" s="1899"/>
      <c r="K44" s="1900">
        <f t="shared" si="3"/>
        <v>0</v>
      </c>
      <c r="L44" s="2007"/>
      <c r="M44" s="1898">
        <f>200000*30.126/1000</f>
        <v>6025.2</v>
      </c>
      <c r="N44" s="1948"/>
      <c r="O44" s="1949">
        <f>200*30.126/1000</f>
        <v>6.0252</v>
      </c>
      <c r="Q44" s="401"/>
    </row>
    <row r="45" spans="1:17" s="3" customFormat="1" ht="15" customHeight="1" hidden="1">
      <c r="A45" s="2023"/>
      <c r="B45" s="1918" t="s">
        <v>1241</v>
      </c>
      <c r="C45" s="1906" t="s">
        <v>1290</v>
      </c>
      <c r="D45" s="1897"/>
      <c r="E45" s="1898">
        <v>277</v>
      </c>
      <c r="F45" s="1898">
        <v>51639</v>
      </c>
      <c r="G45" s="2086">
        <v>59440</v>
      </c>
      <c r="H45" s="1946"/>
      <c r="I45" s="2105">
        <f t="shared" si="2"/>
        <v>0</v>
      </c>
      <c r="J45" s="1899"/>
      <c r="K45" s="1900">
        <f t="shared" si="3"/>
        <v>0</v>
      </c>
      <c r="L45" s="2007"/>
      <c r="M45" s="1898">
        <f>573840*30.126/1000</f>
        <v>17287.50384</v>
      </c>
      <c r="N45" s="1948"/>
      <c r="O45" s="1949">
        <f>533590*30.126/1000</f>
        <v>16074.93234</v>
      </c>
      <c r="Q45" s="401"/>
    </row>
    <row r="46" spans="1:17" s="3" customFormat="1" ht="15" customHeight="1" hidden="1">
      <c r="A46" s="2023"/>
      <c r="B46" s="1918" t="s">
        <v>1241</v>
      </c>
      <c r="C46" s="1906" t="s">
        <v>1291</v>
      </c>
      <c r="D46" s="1897"/>
      <c r="E46" s="1898"/>
      <c r="F46" s="1898"/>
      <c r="G46" s="2086"/>
      <c r="H46" s="1946"/>
      <c r="I46" s="2105">
        <f t="shared" si="2"/>
        <v>0</v>
      </c>
      <c r="J46" s="1899"/>
      <c r="K46" s="1900">
        <f t="shared" si="3"/>
        <v>0</v>
      </c>
      <c r="L46" s="2007"/>
      <c r="M46" s="1898">
        <f>1375420*30.126/1000</f>
        <v>41435.90292</v>
      </c>
      <c r="N46" s="1948"/>
      <c r="O46" s="1949">
        <f>1389180*30.126/1000</f>
        <v>41850.43668</v>
      </c>
      <c r="Q46" s="401"/>
    </row>
    <row r="47" spans="1:17" s="3" customFormat="1" ht="15" customHeight="1" hidden="1">
      <c r="A47" s="2023"/>
      <c r="B47" s="1918" t="s">
        <v>1241</v>
      </c>
      <c r="C47" s="1906" t="s">
        <v>1292</v>
      </c>
      <c r="D47" s="1897"/>
      <c r="E47" s="1898"/>
      <c r="F47" s="1898">
        <v>28800</v>
      </c>
      <c r="G47" s="2086">
        <v>22848</v>
      </c>
      <c r="H47" s="1946"/>
      <c r="I47" s="2105">
        <f t="shared" si="2"/>
        <v>0</v>
      </c>
      <c r="J47" s="1899"/>
      <c r="K47" s="1900">
        <f t="shared" si="3"/>
        <v>0</v>
      </c>
      <c r="L47" s="2007"/>
      <c r="M47" s="1898">
        <v>0</v>
      </c>
      <c r="N47" s="1948"/>
      <c r="O47" s="1949">
        <v>0</v>
      </c>
      <c r="Q47" s="401"/>
    </row>
    <row r="48" spans="1:17" s="3" customFormat="1" ht="15" customHeight="1" hidden="1">
      <c r="A48" s="2023"/>
      <c r="B48" s="1918" t="s">
        <v>1241</v>
      </c>
      <c r="C48" s="1906" t="s">
        <v>1293</v>
      </c>
      <c r="D48" s="1897"/>
      <c r="E48" s="1898"/>
      <c r="F48" s="1898"/>
      <c r="G48" s="2086">
        <v>2388</v>
      </c>
      <c r="H48" s="1946"/>
      <c r="I48" s="2105">
        <f t="shared" si="2"/>
        <v>0</v>
      </c>
      <c r="J48" s="1899"/>
      <c r="K48" s="1900">
        <f t="shared" si="3"/>
        <v>0</v>
      </c>
      <c r="L48" s="2007"/>
      <c r="M48" s="1898">
        <v>0</v>
      </c>
      <c r="N48" s="1948"/>
      <c r="O48" s="1949">
        <v>0</v>
      </c>
      <c r="Q48" s="401"/>
    </row>
    <row r="49" spans="1:17" s="3" customFormat="1" ht="15" customHeight="1" hidden="1">
      <c r="A49" s="2023"/>
      <c r="B49" s="1920" t="s">
        <v>1241</v>
      </c>
      <c r="C49" s="1906" t="s">
        <v>1294</v>
      </c>
      <c r="D49" s="1897"/>
      <c r="E49" s="1898">
        <v>239</v>
      </c>
      <c r="F49" s="1898">
        <v>139</v>
      </c>
      <c r="G49" s="2086">
        <v>244</v>
      </c>
      <c r="H49" s="1946"/>
      <c r="I49" s="2105">
        <f t="shared" si="2"/>
        <v>0</v>
      </c>
      <c r="J49" s="1899"/>
      <c r="K49" s="1900">
        <f t="shared" si="3"/>
        <v>0</v>
      </c>
      <c r="L49" s="2007"/>
      <c r="M49" s="1898">
        <v>150</v>
      </c>
      <c r="N49" s="1948"/>
      <c r="O49" s="1949">
        <v>150</v>
      </c>
      <c r="Q49" s="401"/>
    </row>
    <row r="50" spans="1:17" s="402" customFormat="1" ht="15" customHeight="1">
      <c r="A50" s="2024" t="s">
        <v>1245</v>
      </c>
      <c r="B50" s="1921" t="s">
        <v>1241</v>
      </c>
      <c r="C50" s="1923" t="s">
        <v>1295</v>
      </c>
      <c r="D50" s="1893">
        <f>SUM(D51:D55)</f>
        <v>5905</v>
      </c>
      <c r="E50" s="1894">
        <f aca="true" t="shared" si="12" ref="E50:O50">SUM(E51:E55)</f>
        <v>8682</v>
      </c>
      <c r="F50" s="1894">
        <f t="shared" si="12"/>
        <v>8600</v>
      </c>
      <c r="G50" s="2085">
        <f t="shared" si="12"/>
        <v>14095</v>
      </c>
      <c r="H50" s="1946">
        <v>478961</v>
      </c>
      <c r="I50" s="2105">
        <f t="shared" si="2"/>
        <v>14429.179086000002</v>
      </c>
      <c r="J50" s="1895">
        <v>315342</v>
      </c>
      <c r="K50" s="1896">
        <f t="shared" si="3"/>
        <v>9499.993092</v>
      </c>
      <c r="L50" s="2099">
        <f>M50*1000/30.126</f>
        <v>165969.59437031136</v>
      </c>
      <c r="M50" s="1894">
        <f t="shared" si="12"/>
        <v>5000</v>
      </c>
      <c r="N50" s="1946">
        <f>O50*1000/30.126</f>
        <v>165969.59437031136</v>
      </c>
      <c r="O50" s="1947">
        <f t="shared" si="12"/>
        <v>5000</v>
      </c>
      <c r="Q50" s="401"/>
    </row>
    <row r="51" spans="1:17" s="3" customFormat="1" ht="15" customHeight="1" hidden="1">
      <c r="A51" s="2023"/>
      <c r="B51" s="1920" t="s">
        <v>1241</v>
      </c>
      <c r="C51" s="1906" t="s">
        <v>1296</v>
      </c>
      <c r="D51" s="1897">
        <v>990</v>
      </c>
      <c r="E51" s="1898">
        <v>990</v>
      </c>
      <c r="F51" s="1898">
        <v>990</v>
      </c>
      <c r="G51" s="2086">
        <v>990</v>
      </c>
      <c r="H51" s="1946"/>
      <c r="I51" s="2105">
        <f t="shared" si="2"/>
        <v>0</v>
      </c>
      <c r="J51" s="1899"/>
      <c r="K51" s="1900">
        <f t="shared" si="3"/>
        <v>0</v>
      </c>
      <c r="L51" s="2099">
        <f aca="true" t="shared" si="13" ref="L51:N56">M51*1000/30.126</f>
        <v>0</v>
      </c>
      <c r="M51" s="1898">
        <v>0</v>
      </c>
      <c r="N51" s="1946">
        <f t="shared" si="13"/>
        <v>0</v>
      </c>
      <c r="O51" s="1949">
        <v>0</v>
      </c>
      <c r="Q51" s="401"/>
    </row>
    <row r="52" spans="1:17" s="3" customFormat="1" ht="15" customHeight="1" hidden="1">
      <c r="A52" s="2023"/>
      <c r="B52" s="1920" t="s">
        <v>1241</v>
      </c>
      <c r="C52" s="1906" t="s">
        <v>1297</v>
      </c>
      <c r="D52" s="1897">
        <v>3656</v>
      </c>
      <c r="E52" s="1898">
        <v>5248</v>
      </c>
      <c r="F52" s="1898">
        <v>4810</v>
      </c>
      <c r="G52" s="2086">
        <v>3500</v>
      </c>
      <c r="H52" s="1946"/>
      <c r="I52" s="2105">
        <f t="shared" si="2"/>
        <v>0</v>
      </c>
      <c r="J52" s="1899"/>
      <c r="K52" s="1900">
        <f t="shared" si="3"/>
        <v>0</v>
      </c>
      <c r="L52" s="2099">
        <f t="shared" si="13"/>
        <v>116178.71605921794</v>
      </c>
      <c r="M52" s="1898">
        <v>3500</v>
      </c>
      <c r="N52" s="1946">
        <f t="shared" si="13"/>
        <v>116178.71605921794</v>
      </c>
      <c r="O52" s="1949">
        <v>3500</v>
      </c>
      <c r="Q52" s="401"/>
    </row>
    <row r="53" spans="1:17" s="3" customFormat="1" ht="15" customHeight="1" hidden="1">
      <c r="A53" s="2023"/>
      <c r="B53" s="1920" t="s">
        <v>1241</v>
      </c>
      <c r="C53" s="1906" t="s">
        <v>1298</v>
      </c>
      <c r="D53" s="1897"/>
      <c r="E53" s="1898"/>
      <c r="F53" s="1898"/>
      <c r="G53" s="2086">
        <v>4366</v>
      </c>
      <c r="H53" s="1946"/>
      <c r="I53" s="2105">
        <f t="shared" si="2"/>
        <v>0</v>
      </c>
      <c r="J53" s="1899"/>
      <c r="K53" s="1900">
        <f t="shared" si="3"/>
        <v>0</v>
      </c>
      <c r="L53" s="2099">
        <f t="shared" si="13"/>
        <v>0</v>
      </c>
      <c r="M53" s="1898">
        <v>0</v>
      </c>
      <c r="N53" s="1946">
        <f t="shared" si="13"/>
        <v>0</v>
      </c>
      <c r="O53" s="1949">
        <v>0</v>
      </c>
      <c r="Q53" s="401"/>
    </row>
    <row r="54" spans="1:17" s="3" customFormat="1" ht="15" customHeight="1" hidden="1">
      <c r="A54" s="2023"/>
      <c r="B54" s="1920" t="s">
        <v>1241</v>
      </c>
      <c r="C54" s="1906" t="s">
        <v>887</v>
      </c>
      <c r="D54" s="1897"/>
      <c r="E54" s="1898"/>
      <c r="F54" s="1898"/>
      <c r="G54" s="2086">
        <v>0</v>
      </c>
      <c r="H54" s="1946"/>
      <c r="I54" s="2105">
        <f t="shared" si="2"/>
        <v>0</v>
      </c>
      <c r="J54" s="1899"/>
      <c r="K54" s="1900">
        <f t="shared" si="3"/>
        <v>0</v>
      </c>
      <c r="L54" s="2099">
        <f t="shared" si="13"/>
        <v>0</v>
      </c>
      <c r="M54" s="1898">
        <v>0</v>
      </c>
      <c r="N54" s="1946">
        <f t="shared" si="13"/>
        <v>0</v>
      </c>
      <c r="O54" s="1949">
        <v>0</v>
      </c>
      <c r="Q54" s="401"/>
    </row>
    <row r="55" spans="1:17" s="3" customFormat="1" ht="15" customHeight="1" hidden="1">
      <c r="A55" s="2023"/>
      <c r="B55" s="1920" t="s">
        <v>1241</v>
      </c>
      <c r="C55" s="1906" t="s">
        <v>1299</v>
      </c>
      <c r="D55" s="1897">
        <v>1259</v>
      </c>
      <c r="E55" s="1898">
        <v>2444</v>
      </c>
      <c r="F55" s="1898">
        <v>2800</v>
      </c>
      <c r="G55" s="2086">
        <v>5239</v>
      </c>
      <c r="H55" s="1946"/>
      <c r="I55" s="2105">
        <f t="shared" si="2"/>
        <v>0</v>
      </c>
      <c r="J55" s="1899"/>
      <c r="K55" s="1900">
        <f t="shared" si="3"/>
        <v>0</v>
      </c>
      <c r="L55" s="2099">
        <f t="shared" si="13"/>
        <v>49790.87831109341</v>
      </c>
      <c r="M55" s="1898">
        <v>1500</v>
      </c>
      <c r="N55" s="1946">
        <f t="shared" si="13"/>
        <v>49790.87831109341</v>
      </c>
      <c r="O55" s="1949">
        <v>1500</v>
      </c>
      <c r="Q55" s="401"/>
    </row>
    <row r="56" spans="1:17" s="402" customFormat="1" ht="15" customHeight="1">
      <c r="A56" s="2024" t="s">
        <v>1265</v>
      </c>
      <c r="B56" s="1921" t="s">
        <v>1241</v>
      </c>
      <c r="C56" s="1923" t="s">
        <v>1300</v>
      </c>
      <c r="D56" s="1893">
        <v>34471</v>
      </c>
      <c r="E56" s="1894">
        <v>29337</v>
      </c>
      <c r="F56" s="1894">
        <v>24096</v>
      </c>
      <c r="G56" s="2085">
        <v>29914</v>
      </c>
      <c r="H56" s="1946">
        <v>960000</v>
      </c>
      <c r="I56" s="2105">
        <f t="shared" si="2"/>
        <v>28920.96</v>
      </c>
      <c r="J56" s="1895">
        <v>800000</v>
      </c>
      <c r="K56" s="1896">
        <f t="shared" si="3"/>
        <v>24100.8</v>
      </c>
      <c r="L56" s="2099">
        <f t="shared" si="13"/>
        <v>800006.6387837748</v>
      </c>
      <c r="M56" s="1894">
        <v>24101</v>
      </c>
      <c r="N56" s="1946">
        <f t="shared" si="13"/>
        <v>800006.6387837748</v>
      </c>
      <c r="O56" s="1947">
        <v>24101</v>
      </c>
      <c r="Q56" s="401"/>
    </row>
    <row r="57" spans="1:17" s="402" customFormat="1" ht="15" customHeight="1">
      <c r="A57" s="1961" t="s">
        <v>1273</v>
      </c>
      <c r="B57" s="1921" t="s">
        <v>1241</v>
      </c>
      <c r="C57" s="1923" t="s">
        <v>1301</v>
      </c>
      <c r="D57" s="1893">
        <f>SUM(D58+D64+D65+D66+D67+D68+D69+D70+D71+D73+D74)</f>
        <v>5421</v>
      </c>
      <c r="E57" s="1894">
        <f>SUM(E58+E64+E65+E66+E67+E68+E69+E70+E71+E73+E74)</f>
        <v>5622</v>
      </c>
      <c r="F57" s="1894">
        <f>SUM(F58+F64+F65+F66+F67+F68+F69+F70+F71+F73+F74)</f>
        <v>8281</v>
      </c>
      <c r="G57" s="2085">
        <f>SUM(G58+G64+G65+G66+G67+G68+G69+G70+G71+G73+G74)</f>
        <v>18256</v>
      </c>
      <c r="H57" s="1946">
        <v>362391</v>
      </c>
      <c r="I57" s="2105">
        <f t="shared" si="2"/>
        <v>10917.391266</v>
      </c>
      <c r="J57" s="1895">
        <v>308377</v>
      </c>
      <c r="K57" s="1896">
        <f t="shared" si="3"/>
        <v>9290.165502</v>
      </c>
      <c r="L57" s="2099">
        <f>M57*1000/30.126</f>
        <v>308769.77892850025</v>
      </c>
      <c r="M57" s="1894">
        <f>SUM(M58+M64+M65+M66+M67+M68+M69+M70+M71+M72+M73+M74)</f>
        <v>9301.99836</v>
      </c>
      <c r="N57" s="1946">
        <f>O57*1000/30.126</f>
        <v>309769.77892850025</v>
      </c>
      <c r="O57" s="1947">
        <f>SUM(O58+O64+O65+O66+O67+O68+O69+O70+O71+O72+O73+O74)</f>
        <v>9332.12436</v>
      </c>
      <c r="Q57" s="401"/>
    </row>
    <row r="58" spans="1:17" s="3" customFormat="1" ht="12.75" hidden="1">
      <c r="A58" s="1909"/>
      <c r="B58" s="1920" t="s">
        <v>1241</v>
      </c>
      <c r="C58" s="1906" t="s">
        <v>1302</v>
      </c>
      <c r="D58" s="1897">
        <v>267</v>
      </c>
      <c r="E58" s="1898">
        <v>369</v>
      </c>
      <c r="F58" s="1898">
        <v>435</v>
      </c>
      <c r="G58" s="2089">
        <v>855</v>
      </c>
      <c r="H58" s="1946"/>
      <c r="I58" s="2105">
        <f t="shared" si="2"/>
        <v>0</v>
      </c>
      <c r="J58" s="1899"/>
      <c r="K58" s="1900">
        <f t="shared" si="3"/>
        <v>0</v>
      </c>
      <c r="L58" s="2007"/>
      <c r="M58" s="1898">
        <f>SUM(M59:M63)</f>
        <v>485.7388</v>
      </c>
      <c r="N58" s="1898"/>
      <c r="O58" s="1949">
        <f>SUM(O59:O63)</f>
        <v>515.8648000000001</v>
      </c>
      <c r="Q58" s="401"/>
    </row>
    <row r="59" spans="1:17" s="3" customFormat="1" ht="12.75" hidden="1">
      <c r="A59" s="1909"/>
      <c r="B59" s="1920" t="s">
        <v>1241</v>
      </c>
      <c r="C59" s="1926" t="s">
        <v>1303</v>
      </c>
      <c r="D59" s="1897"/>
      <c r="E59" s="1898"/>
      <c r="F59" s="1898"/>
      <c r="G59" s="2089"/>
      <c r="H59" s="1946"/>
      <c r="I59" s="2105">
        <f t="shared" si="2"/>
        <v>0</v>
      </c>
      <c r="J59" s="1899"/>
      <c r="K59" s="1900">
        <f t="shared" si="3"/>
        <v>0</v>
      </c>
      <c r="L59" s="2007"/>
      <c r="M59" s="1898">
        <v>3.0126</v>
      </c>
      <c r="N59" s="1898"/>
      <c r="O59" s="1949">
        <v>3.0126</v>
      </c>
      <c r="Q59" s="401"/>
    </row>
    <row r="60" spans="1:17" s="3" customFormat="1" ht="12.75" hidden="1">
      <c r="A60" s="1909"/>
      <c r="B60" s="1920" t="s">
        <v>1241</v>
      </c>
      <c r="C60" s="1926" t="s">
        <v>1304</v>
      </c>
      <c r="D60" s="1897"/>
      <c r="E60" s="1898"/>
      <c r="F60" s="1898"/>
      <c r="G60" s="2089"/>
      <c r="H60" s="1946"/>
      <c r="I60" s="2105">
        <f t="shared" si="2"/>
        <v>0</v>
      </c>
      <c r="J60" s="1899"/>
      <c r="K60" s="1900">
        <f t="shared" si="3"/>
        <v>0</v>
      </c>
      <c r="L60" s="2007"/>
      <c r="M60" s="1898">
        <v>105.441</v>
      </c>
      <c r="N60" s="1898"/>
      <c r="O60" s="1949">
        <v>120.504</v>
      </c>
      <c r="Q60" s="401"/>
    </row>
    <row r="61" spans="1:17" s="3" customFormat="1" ht="12.75" hidden="1">
      <c r="A61" s="1909"/>
      <c r="B61" s="1920" t="s">
        <v>1241</v>
      </c>
      <c r="C61" s="1926" t="s">
        <v>1305</v>
      </c>
      <c r="D61" s="1897"/>
      <c r="E61" s="1898"/>
      <c r="F61" s="1898"/>
      <c r="G61" s="2089"/>
      <c r="H61" s="1946"/>
      <c r="I61" s="2105">
        <f t="shared" si="2"/>
        <v>0</v>
      </c>
      <c r="J61" s="1899"/>
      <c r="K61" s="1900">
        <f t="shared" si="3"/>
        <v>0</v>
      </c>
      <c r="L61" s="2007"/>
      <c r="M61" s="1898">
        <v>60.252</v>
      </c>
      <c r="N61" s="1898"/>
      <c r="O61" s="1949">
        <v>66.2772</v>
      </c>
      <c r="Q61" s="401"/>
    </row>
    <row r="62" spans="1:17" s="3" customFormat="1" ht="12.75" hidden="1">
      <c r="A62" s="1909"/>
      <c r="B62" s="1920" t="s">
        <v>1241</v>
      </c>
      <c r="C62" s="1926" t="s">
        <v>1306</v>
      </c>
      <c r="D62" s="1897"/>
      <c r="E62" s="1898"/>
      <c r="F62" s="1898"/>
      <c r="G62" s="2089"/>
      <c r="H62" s="1946"/>
      <c r="I62" s="2105">
        <f t="shared" si="2"/>
        <v>0</v>
      </c>
      <c r="J62" s="1899"/>
      <c r="K62" s="1900">
        <f t="shared" si="3"/>
        <v>0</v>
      </c>
      <c r="L62" s="2007"/>
      <c r="M62" s="1898">
        <v>247.03320000000002</v>
      </c>
      <c r="N62" s="1898"/>
      <c r="O62" s="1949">
        <v>256.071</v>
      </c>
      <c r="Q62" s="401"/>
    </row>
    <row r="63" spans="1:17" s="3" customFormat="1" ht="12.75" hidden="1">
      <c r="A63" s="1909"/>
      <c r="B63" s="1920" t="s">
        <v>1241</v>
      </c>
      <c r="C63" s="1926" t="s">
        <v>1307</v>
      </c>
      <c r="D63" s="1897"/>
      <c r="E63" s="1898"/>
      <c r="F63" s="1898"/>
      <c r="G63" s="2089"/>
      <c r="H63" s="1946"/>
      <c r="I63" s="2105">
        <f t="shared" si="2"/>
        <v>0</v>
      </c>
      <c r="J63" s="1899"/>
      <c r="K63" s="1900">
        <f t="shared" si="3"/>
        <v>0</v>
      </c>
      <c r="L63" s="2007"/>
      <c r="M63" s="1898">
        <v>70</v>
      </c>
      <c r="N63" s="1898"/>
      <c r="O63" s="1949">
        <v>70</v>
      </c>
      <c r="P63" s="7"/>
      <c r="Q63" s="401"/>
    </row>
    <row r="64" spans="1:17" s="3" customFormat="1" ht="12.75" hidden="1">
      <c r="A64" s="1909"/>
      <c r="B64" s="1920" t="s">
        <v>1241</v>
      </c>
      <c r="C64" s="1906" t="s">
        <v>1308</v>
      </c>
      <c r="D64" s="1897">
        <v>253</v>
      </c>
      <c r="E64" s="1898">
        <v>340</v>
      </c>
      <c r="F64" s="1898">
        <v>310</v>
      </c>
      <c r="G64" s="2089">
        <v>268</v>
      </c>
      <c r="H64" s="1946"/>
      <c r="I64" s="2105">
        <f t="shared" si="2"/>
        <v>0</v>
      </c>
      <c r="J64" s="1899"/>
      <c r="K64" s="1900">
        <f t="shared" si="3"/>
        <v>0</v>
      </c>
      <c r="L64" s="2007"/>
      <c r="M64" s="1898">
        <v>0</v>
      </c>
      <c r="N64" s="1898"/>
      <c r="O64" s="1949">
        <v>0</v>
      </c>
      <c r="Q64" s="401"/>
    </row>
    <row r="65" spans="1:17" s="3" customFormat="1" ht="12.75" hidden="1">
      <c r="A65" s="1909"/>
      <c r="B65" s="1920" t="s">
        <v>1241</v>
      </c>
      <c r="C65" s="1906" t="s">
        <v>1309</v>
      </c>
      <c r="D65" s="1897">
        <v>1289</v>
      </c>
      <c r="E65" s="1898">
        <v>1587</v>
      </c>
      <c r="F65" s="1898">
        <v>2600</v>
      </c>
      <c r="G65" s="2089">
        <v>4839</v>
      </c>
      <c r="H65" s="1946"/>
      <c r="I65" s="2105">
        <f t="shared" si="2"/>
        <v>0</v>
      </c>
      <c r="J65" s="1899"/>
      <c r="K65" s="1900">
        <f t="shared" si="3"/>
        <v>0</v>
      </c>
      <c r="L65" s="2007"/>
      <c r="M65" s="1898">
        <v>6025.2</v>
      </c>
      <c r="N65" s="1898"/>
      <c r="O65" s="1949">
        <v>6025.2</v>
      </c>
      <c r="Q65" s="401"/>
    </row>
    <row r="66" spans="1:17" s="3" customFormat="1" ht="12.75" hidden="1">
      <c r="A66" s="1909"/>
      <c r="B66" s="1920" t="s">
        <v>1241</v>
      </c>
      <c r="C66" s="1906" t="s">
        <v>1310</v>
      </c>
      <c r="D66" s="1897">
        <v>229</v>
      </c>
      <c r="E66" s="1898">
        <v>229</v>
      </c>
      <c r="F66" s="1898">
        <v>229</v>
      </c>
      <c r="G66" s="2089">
        <v>229</v>
      </c>
      <c r="H66" s="1946"/>
      <c r="I66" s="2105">
        <f t="shared" si="2"/>
        <v>0</v>
      </c>
      <c r="J66" s="1899"/>
      <c r="K66" s="1900">
        <f t="shared" si="3"/>
        <v>0</v>
      </c>
      <c r="L66" s="2007"/>
      <c r="M66" s="1898">
        <v>229</v>
      </c>
      <c r="N66" s="1898"/>
      <c r="O66" s="1949">
        <v>229</v>
      </c>
      <c r="Q66" s="401"/>
    </row>
    <row r="67" spans="1:17" s="3" customFormat="1" ht="12.75" hidden="1">
      <c r="A67" s="1909"/>
      <c r="B67" s="1920" t="s">
        <v>1241</v>
      </c>
      <c r="C67" s="1906" t="s">
        <v>1311</v>
      </c>
      <c r="D67" s="1897">
        <v>299</v>
      </c>
      <c r="E67" s="1898">
        <v>280</v>
      </c>
      <c r="F67" s="1898">
        <v>34</v>
      </c>
      <c r="G67" s="2089">
        <v>580</v>
      </c>
      <c r="H67" s="1946"/>
      <c r="I67" s="2105">
        <f t="shared" si="2"/>
        <v>0</v>
      </c>
      <c r="J67" s="1899"/>
      <c r="K67" s="1900">
        <f t="shared" si="3"/>
        <v>0</v>
      </c>
      <c r="L67" s="2007"/>
      <c r="M67" s="1898">
        <v>0</v>
      </c>
      <c r="N67" s="1898"/>
      <c r="O67" s="1949">
        <v>0</v>
      </c>
      <c r="Q67" s="440"/>
    </row>
    <row r="68" spans="1:17" s="3" customFormat="1" ht="12.75" hidden="1">
      <c r="A68" s="1909"/>
      <c r="B68" s="1920" t="s">
        <v>1241</v>
      </c>
      <c r="C68" s="1906" t="s">
        <v>1312</v>
      </c>
      <c r="D68" s="1897">
        <v>841</v>
      </c>
      <c r="E68" s="1898">
        <v>877</v>
      </c>
      <c r="F68" s="1898">
        <v>1030</v>
      </c>
      <c r="G68" s="2089">
        <v>1013</v>
      </c>
      <c r="H68" s="1946"/>
      <c r="I68" s="2105">
        <f t="shared" si="2"/>
        <v>0</v>
      </c>
      <c r="J68" s="1899"/>
      <c r="K68" s="1900">
        <f t="shared" si="3"/>
        <v>0</v>
      </c>
      <c r="L68" s="2007"/>
      <c r="M68" s="1898">
        <v>1000</v>
      </c>
      <c r="N68" s="1898"/>
      <c r="O68" s="1949">
        <v>1000</v>
      </c>
      <c r="Q68" s="401"/>
    </row>
    <row r="69" spans="1:17" s="3" customFormat="1" ht="12.75" hidden="1">
      <c r="A69" s="1909"/>
      <c r="B69" s="1920" t="s">
        <v>1241</v>
      </c>
      <c r="C69" s="1906" t="s">
        <v>1313</v>
      </c>
      <c r="D69" s="1897"/>
      <c r="E69" s="1898"/>
      <c r="F69" s="1898">
        <v>1096</v>
      </c>
      <c r="G69" s="2089"/>
      <c r="H69" s="1946"/>
      <c r="I69" s="2105">
        <f t="shared" si="2"/>
        <v>0</v>
      </c>
      <c r="J69" s="1899"/>
      <c r="K69" s="1900">
        <f t="shared" si="3"/>
        <v>0</v>
      </c>
      <c r="L69" s="2007"/>
      <c r="M69" s="1898">
        <v>0</v>
      </c>
      <c r="N69" s="1898"/>
      <c r="O69" s="1949">
        <v>0</v>
      </c>
      <c r="Q69" s="401"/>
    </row>
    <row r="70" spans="1:17" s="3" customFormat="1" ht="12.75" hidden="1">
      <c r="A70" s="1909"/>
      <c r="B70" s="1920" t="s">
        <v>1241</v>
      </c>
      <c r="C70" s="1906" t="s">
        <v>1314</v>
      </c>
      <c r="D70" s="1897"/>
      <c r="E70" s="1898"/>
      <c r="F70" s="1898"/>
      <c r="G70" s="2089"/>
      <c r="H70" s="1946"/>
      <c r="I70" s="2105">
        <f t="shared" si="2"/>
        <v>0</v>
      </c>
      <c r="J70" s="1899"/>
      <c r="K70" s="1900">
        <f t="shared" si="3"/>
        <v>0</v>
      </c>
      <c r="L70" s="2007"/>
      <c r="M70" s="1898">
        <f>1660*30.126/1000</f>
        <v>50.00916</v>
      </c>
      <c r="N70" s="1898"/>
      <c r="O70" s="1949">
        <f>1660*30.126/1000</f>
        <v>50.00916</v>
      </c>
      <c r="Q70" s="401"/>
    </row>
    <row r="71" spans="1:17" s="3" customFormat="1" ht="12.75" hidden="1">
      <c r="A71" s="1909"/>
      <c r="B71" s="1920" t="s">
        <v>1241</v>
      </c>
      <c r="C71" s="1906" t="s">
        <v>1315</v>
      </c>
      <c r="D71" s="1897"/>
      <c r="E71" s="1898"/>
      <c r="F71" s="1898"/>
      <c r="G71" s="2089"/>
      <c r="H71" s="1946"/>
      <c r="I71" s="2105">
        <f t="shared" si="2"/>
        <v>0</v>
      </c>
      <c r="J71" s="1899"/>
      <c r="K71" s="1900">
        <f t="shared" si="3"/>
        <v>0</v>
      </c>
      <c r="L71" s="2007"/>
      <c r="M71" s="1898">
        <v>12.0504</v>
      </c>
      <c r="N71" s="1898"/>
      <c r="O71" s="1949">
        <v>12.0504</v>
      </c>
      <c r="Q71" s="401"/>
    </row>
    <row r="72" spans="1:17" s="3" customFormat="1" ht="12.75" hidden="1">
      <c r="A72" s="1909"/>
      <c r="B72" s="1920" t="s">
        <v>1241</v>
      </c>
      <c r="C72" s="1906" t="s">
        <v>1316</v>
      </c>
      <c r="D72" s="1897"/>
      <c r="E72" s="1898"/>
      <c r="F72" s="1898"/>
      <c r="G72" s="2089"/>
      <c r="H72" s="1946"/>
      <c r="I72" s="2105">
        <f aca="true" t="shared" si="14" ref="I72:I77">H72*30.126/1000</f>
        <v>0</v>
      </c>
      <c r="J72" s="1899"/>
      <c r="K72" s="1900">
        <f>J72*30.126/1000</f>
        <v>0</v>
      </c>
      <c r="L72" s="2007"/>
      <c r="M72" s="1898">
        <v>500</v>
      </c>
      <c r="N72" s="1898"/>
      <c r="O72" s="1949">
        <v>500</v>
      </c>
      <c r="Q72" s="401"/>
    </row>
    <row r="73" spans="1:17" s="3" customFormat="1" ht="12.75" hidden="1">
      <c r="A73" s="1909"/>
      <c r="B73" s="1920" t="s">
        <v>1241</v>
      </c>
      <c r="C73" s="1906" t="s">
        <v>1317</v>
      </c>
      <c r="D73" s="1897">
        <v>2243</v>
      </c>
      <c r="E73" s="1898">
        <v>1940</v>
      </c>
      <c r="F73" s="1898">
        <v>2547</v>
      </c>
      <c r="G73" s="2089">
        <v>2924</v>
      </c>
      <c r="H73" s="1946"/>
      <c r="I73" s="2105">
        <f t="shared" si="14"/>
        <v>0</v>
      </c>
      <c r="J73" s="1899"/>
      <c r="K73" s="1900">
        <f>J73*30.126/1000</f>
        <v>0</v>
      </c>
      <c r="L73" s="2007"/>
      <c r="M73" s="1898">
        <v>1000</v>
      </c>
      <c r="N73" s="1898"/>
      <c r="O73" s="1949">
        <v>1000</v>
      </c>
      <c r="Q73" s="401"/>
    </row>
    <row r="74" spans="1:17" s="3" customFormat="1" ht="12.75" hidden="1">
      <c r="A74" s="1969"/>
      <c r="B74" s="1970" t="s">
        <v>1241</v>
      </c>
      <c r="C74" s="1971" t="s">
        <v>1318</v>
      </c>
      <c r="D74" s="1972"/>
      <c r="E74" s="1973"/>
      <c r="F74" s="1973"/>
      <c r="G74" s="2090">
        <v>7548</v>
      </c>
      <c r="H74" s="2102"/>
      <c r="I74" s="2108">
        <f t="shared" si="14"/>
        <v>0</v>
      </c>
      <c r="J74" s="1975"/>
      <c r="K74" s="1974">
        <f>J74*30.126/1000</f>
        <v>0</v>
      </c>
      <c r="L74" s="2028"/>
      <c r="M74" s="1973">
        <v>0</v>
      </c>
      <c r="N74" s="1973"/>
      <c r="O74" s="1977">
        <v>0</v>
      </c>
      <c r="Q74" s="401"/>
    </row>
    <row r="75" spans="1:17" s="1885" customFormat="1" ht="19.5" customHeight="1">
      <c r="A75" s="1978"/>
      <c r="B75" s="1979"/>
      <c r="C75" s="1938" t="s">
        <v>877</v>
      </c>
      <c r="D75" s="1980"/>
      <c r="E75" s="1981"/>
      <c r="F75" s="1981"/>
      <c r="G75" s="2091"/>
      <c r="H75" s="1940">
        <f>H76+H77</f>
        <v>1028591</v>
      </c>
      <c r="I75" s="2083">
        <f aca="true" t="shared" si="15" ref="I75:O75">I76+I77</f>
        <v>30987.332466</v>
      </c>
      <c r="J75" s="1942">
        <f t="shared" si="15"/>
        <v>800000</v>
      </c>
      <c r="K75" s="1941">
        <f t="shared" si="15"/>
        <v>24100.8</v>
      </c>
      <c r="L75" s="1939">
        <f t="shared" si="15"/>
        <v>800000</v>
      </c>
      <c r="M75" s="1940">
        <f t="shared" si="15"/>
        <v>24100.8</v>
      </c>
      <c r="N75" s="1940">
        <f t="shared" si="15"/>
        <v>800000</v>
      </c>
      <c r="O75" s="1953">
        <f t="shared" si="15"/>
        <v>24100.8</v>
      </c>
      <c r="Q75" s="1884"/>
    </row>
    <row r="76" spans="1:17" s="402" customFormat="1" ht="15" customHeight="1">
      <c r="A76" s="1982" t="s">
        <v>1275</v>
      </c>
      <c r="B76" s="1991" t="s">
        <v>1319</v>
      </c>
      <c r="C76" s="1984" t="s">
        <v>1320</v>
      </c>
      <c r="D76" s="1985">
        <v>43797</v>
      </c>
      <c r="E76" s="1986">
        <v>190594</v>
      </c>
      <c r="F76" s="1986">
        <v>149460</v>
      </c>
      <c r="G76" s="2088">
        <v>52407</v>
      </c>
      <c r="H76" s="1989">
        <v>995818</v>
      </c>
      <c r="I76" s="2107">
        <f t="shared" si="14"/>
        <v>30000.013068</v>
      </c>
      <c r="J76" s="1987">
        <v>800000</v>
      </c>
      <c r="K76" s="1988">
        <f>J76*30.126/1000</f>
        <v>24100.8</v>
      </c>
      <c r="L76" s="2101">
        <v>800000</v>
      </c>
      <c r="M76" s="1986">
        <f>L76*30.126/1000</f>
        <v>24100.8</v>
      </c>
      <c r="N76" s="1986">
        <v>800000</v>
      </c>
      <c r="O76" s="1990">
        <f>N76*30.126/1000</f>
        <v>24100.8</v>
      </c>
      <c r="Q76" s="401"/>
    </row>
    <row r="77" spans="1:17" s="402" customFormat="1" ht="15" customHeight="1">
      <c r="A77" s="1910"/>
      <c r="B77" s="1922"/>
      <c r="C77" s="1930" t="s">
        <v>764</v>
      </c>
      <c r="D77" s="1902"/>
      <c r="E77" s="1903"/>
      <c r="F77" s="1903"/>
      <c r="G77" s="2087"/>
      <c r="H77" s="1950">
        <v>32773</v>
      </c>
      <c r="I77" s="2106">
        <f t="shared" si="14"/>
        <v>987.3193980000001</v>
      </c>
      <c r="J77" s="1904"/>
      <c r="K77" s="1905"/>
      <c r="L77" s="2100"/>
      <c r="M77" s="1903"/>
      <c r="N77" s="1903"/>
      <c r="O77" s="1951"/>
      <c r="Q77" s="401"/>
    </row>
    <row r="78" spans="1:17" s="400" customFormat="1" ht="20.25" customHeight="1">
      <c r="A78" s="2210" t="s">
        <v>797</v>
      </c>
      <c r="B78" s="2211" t="s">
        <v>1241</v>
      </c>
      <c r="C78" s="2212" t="s">
        <v>1321</v>
      </c>
      <c r="D78" s="2213">
        <v>331469</v>
      </c>
      <c r="E78" s="2214">
        <v>366416</v>
      </c>
      <c r="F78" s="2214">
        <v>388007</v>
      </c>
      <c r="G78" s="2215">
        <v>468281</v>
      </c>
      <c r="H78" s="2214">
        <f aca="true" t="shared" si="16" ref="H78:O79">H79</f>
        <v>14208982</v>
      </c>
      <c r="I78" s="2215">
        <f t="shared" si="16"/>
        <v>428059.791732</v>
      </c>
      <c r="J78" s="2216">
        <f t="shared" si="16"/>
        <v>11285930</v>
      </c>
      <c r="K78" s="2217">
        <f t="shared" si="16"/>
        <v>339999.92718</v>
      </c>
      <c r="L78" s="2213">
        <f t="shared" si="16"/>
        <v>13277568</v>
      </c>
      <c r="M78" s="2214">
        <f t="shared" si="16"/>
        <v>400000.013568</v>
      </c>
      <c r="N78" s="2214">
        <f t="shared" si="16"/>
        <v>15269203</v>
      </c>
      <c r="O78" s="2218">
        <f t="shared" si="16"/>
        <v>460000.009578</v>
      </c>
      <c r="Q78" s="401"/>
    </row>
    <row r="79" spans="1:17" s="1891" customFormat="1" ht="19.5" customHeight="1">
      <c r="A79" s="1911"/>
      <c r="B79" s="1886"/>
      <c r="C79" s="1931" t="s">
        <v>876</v>
      </c>
      <c r="D79" s="1887"/>
      <c r="E79" s="1888"/>
      <c r="F79" s="1888"/>
      <c r="G79" s="2092"/>
      <c r="H79" s="1888">
        <f t="shared" si="16"/>
        <v>14208982</v>
      </c>
      <c r="I79" s="2092">
        <f t="shared" si="16"/>
        <v>428059.791732</v>
      </c>
      <c r="J79" s="1890">
        <f t="shared" si="16"/>
        <v>11285930</v>
      </c>
      <c r="K79" s="1889">
        <f t="shared" si="16"/>
        <v>339999.92718</v>
      </c>
      <c r="L79" s="1887">
        <f t="shared" si="16"/>
        <v>13277568</v>
      </c>
      <c r="M79" s="1888">
        <f t="shared" si="16"/>
        <v>400000.013568</v>
      </c>
      <c r="N79" s="1888">
        <f t="shared" si="16"/>
        <v>15269203</v>
      </c>
      <c r="O79" s="1952">
        <f t="shared" si="16"/>
        <v>460000.009578</v>
      </c>
      <c r="Q79" s="1892"/>
    </row>
    <row r="80" spans="1:17" s="400" customFormat="1" ht="15" customHeight="1">
      <c r="A80" s="1935"/>
      <c r="B80" s="1882"/>
      <c r="C80" s="1932" t="s">
        <v>765</v>
      </c>
      <c r="D80" s="404"/>
      <c r="E80" s="403"/>
      <c r="F80" s="403"/>
      <c r="G80" s="755"/>
      <c r="H80" s="403">
        <v>14208982</v>
      </c>
      <c r="I80" s="755">
        <f>H80*30.126/1000</f>
        <v>428059.791732</v>
      </c>
      <c r="J80" s="1504">
        <v>11285930</v>
      </c>
      <c r="K80" s="756">
        <f>J80*30.126/1000</f>
        <v>339999.92718</v>
      </c>
      <c r="L80" s="404">
        <v>13277568</v>
      </c>
      <c r="M80" s="403">
        <f>L80*30.126/1000</f>
        <v>400000.013568</v>
      </c>
      <c r="N80" s="403">
        <v>15269203</v>
      </c>
      <c r="O80" s="967">
        <f>N80*30.126/1000</f>
        <v>460000.009578</v>
      </c>
      <c r="Q80" s="401"/>
    </row>
    <row r="81" spans="1:17" s="400" customFormat="1" ht="20.25" customHeight="1">
      <c r="A81" s="2210" t="s">
        <v>798</v>
      </c>
      <c r="B81" s="2211"/>
      <c r="C81" s="2212" t="s">
        <v>766</v>
      </c>
      <c r="D81" s="2213"/>
      <c r="E81" s="2214"/>
      <c r="F81" s="2214"/>
      <c r="G81" s="2215"/>
      <c r="H81" s="2214">
        <f aca="true" t="shared" si="17" ref="H81:O81">H82+H113</f>
        <v>1284209</v>
      </c>
      <c r="I81" s="2215">
        <f t="shared" si="17"/>
        <v>38688.080334</v>
      </c>
      <c r="J81" s="2216">
        <f t="shared" si="17"/>
        <v>14115615</v>
      </c>
      <c r="K81" s="2217">
        <f t="shared" si="17"/>
        <v>425247.01749</v>
      </c>
      <c r="L81" s="2213">
        <f t="shared" si="17"/>
        <v>9112890</v>
      </c>
      <c r="M81" s="2214">
        <f t="shared" si="17"/>
        <v>274534.92414</v>
      </c>
      <c r="N81" s="2214">
        <f t="shared" si="17"/>
        <v>1423544</v>
      </c>
      <c r="O81" s="2218">
        <f t="shared" si="17"/>
        <v>42885.686544000004</v>
      </c>
      <c r="Q81" s="401"/>
    </row>
    <row r="82" spans="1:17" s="1891" customFormat="1" ht="19.5" customHeight="1">
      <c r="A82" s="1943"/>
      <c r="B82" s="1886"/>
      <c r="C82" s="1938" t="s">
        <v>876</v>
      </c>
      <c r="D82" s="1939"/>
      <c r="E82" s="1940"/>
      <c r="F82" s="1940"/>
      <c r="G82" s="2083"/>
      <c r="H82" s="1940">
        <f aca="true" t="shared" si="18" ref="H82:O82">SUM(H83:H112)</f>
        <v>329723</v>
      </c>
      <c r="I82" s="2083">
        <f t="shared" si="18"/>
        <v>9933.235098000001</v>
      </c>
      <c r="J82" s="1942">
        <f t="shared" si="18"/>
        <v>343455</v>
      </c>
      <c r="K82" s="1941">
        <f t="shared" si="18"/>
        <v>10346.925330000002</v>
      </c>
      <c r="L82" s="1939">
        <f t="shared" si="18"/>
        <v>264002</v>
      </c>
      <c r="M82" s="1940">
        <f t="shared" si="18"/>
        <v>7953.324252</v>
      </c>
      <c r="N82" s="1940">
        <f t="shared" si="18"/>
        <v>221184</v>
      </c>
      <c r="O82" s="1953">
        <f t="shared" si="18"/>
        <v>6663.389184</v>
      </c>
      <c r="Q82" s="1892"/>
    </row>
    <row r="83" spans="1:17" s="1907" customFormat="1" ht="15" customHeight="1">
      <c r="A83" s="1913"/>
      <c r="B83" s="1992"/>
      <c r="C83" s="1993" t="s">
        <v>767</v>
      </c>
      <c r="D83" s="1994"/>
      <c r="E83" s="1995"/>
      <c r="F83" s="1995"/>
      <c r="G83" s="2093"/>
      <c r="H83" s="1995">
        <v>12645</v>
      </c>
      <c r="I83" s="2093">
        <f>H83*30.126/1000</f>
        <v>380.94327000000004</v>
      </c>
      <c r="J83" s="1997">
        <v>19750</v>
      </c>
      <c r="K83" s="1996">
        <f>J83*30.126/1000</f>
        <v>594.9885</v>
      </c>
      <c r="L83" s="1994">
        <v>19750</v>
      </c>
      <c r="M83" s="1995">
        <f>L83*30.126/1000</f>
        <v>594.9885</v>
      </c>
      <c r="N83" s="1995">
        <v>19750</v>
      </c>
      <c r="O83" s="1998">
        <f>N83*30.126/1000</f>
        <v>594.9885</v>
      </c>
      <c r="Q83" s="1908"/>
    </row>
    <row r="84" spans="1:17" s="1907" customFormat="1" ht="15" customHeight="1">
      <c r="A84" s="1936"/>
      <c r="B84" s="1999"/>
      <c r="C84" s="2000" t="s">
        <v>954</v>
      </c>
      <c r="D84" s="2001"/>
      <c r="E84" s="2002"/>
      <c r="F84" s="2002"/>
      <c r="G84" s="2094"/>
      <c r="H84" s="2002">
        <v>29000</v>
      </c>
      <c r="I84" s="2094">
        <f>H84*30.126/1000</f>
        <v>873.654</v>
      </c>
      <c r="J84" s="2004">
        <v>28070</v>
      </c>
      <c r="K84" s="2003">
        <f>J84*30.126/1000</f>
        <v>845.6368200000001</v>
      </c>
      <c r="L84" s="2001">
        <v>28000</v>
      </c>
      <c r="M84" s="2002">
        <f>L84*30.126/1000</f>
        <v>843.528</v>
      </c>
      <c r="N84" s="2002">
        <v>28000</v>
      </c>
      <c r="O84" s="2005">
        <f>N84*30.126/1000</f>
        <v>843.528</v>
      </c>
      <c r="Q84" s="1908"/>
    </row>
    <row r="85" spans="1:17" s="1907" customFormat="1" ht="15" customHeight="1">
      <c r="A85" s="1936"/>
      <c r="B85" s="1999"/>
      <c r="C85" s="2000" t="s">
        <v>962</v>
      </c>
      <c r="D85" s="2001"/>
      <c r="E85" s="2002"/>
      <c r="F85" s="2002"/>
      <c r="G85" s="2094"/>
      <c r="H85" s="2002">
        <v>7500</v>
      </c>
      <c r="I85" s="2094">
        <f>H85*30.126/1000</f>
        <v>225.945</v>
      </c>
      <c r="J85" s="2004">
        <v>12000</v>
      </c>
      <c r="K85" s="2003">
        <f aca="true" t="shared" si="19" ref="K85:K102">J85*30.126/1000</f>
        <v>361.512</v>
      </c>
      <c r="L85" s="2001">
        <v>7500</v>
      </c>
      <c r="M85" s="2002">
        <f>L85*30.126/1000</f>
        <v>225.945</v>
      </c>
      <c r="N85" s="2002">
        <v>7500</v>
      </c>
      <c r="O85" s="2005">
        <f>N85*30.126/1000</f>
        <v>225.945</v>
      </c>
      <c r="Q85" s="1908"/>
    </row>
    <row r="86" spans="1:17" s="1907" customFormat="1" ht="15" customHeight="1">
      <c r="A86" s="1936"/>
      <c r="B86" s="1999"/>
      <c r="C86" s="2000" t="s">
        <v>3</v>
      </c>
      <c r="D86" s="2001"/>
      <c r="E86" s="2002"/>
      <c r="F86" s="2002"/>
      <c r="G86" s="2094"/>
      <c r="H86" s="2002"/>
      <c r="I86" s="2094"/>
      <c r="J86" s="2004">
        <v>19916</v>
      </c>
      <c r="K86" s="2003">
        <f t="shared" si="19"/>
        <v>599.989416</v>
      </c>
      <c r="L86" s="2001"/>
      <c r="M86" s="2002"/>
      <c r="N86" s="2002">
        <v>19916</v>
      </c>
      <c r="O86" s="2005">
        <f>N86*30.126/1000</f>
        <v>599.989416</v>
      </c>
      <c r="Q86" s="1908"/>
    </row>
    <row r="87" spans="1:17" s="1907" customFormat="1" ht="15" customHeight="1">
      <c r="A87" s="1936"/>
      <c r="B87" s="1999"/>
      <c r="C87" s="2000" t="s">
        <v>768</v>
      </c>
      <c r="D87" s="2001"/>
      <c r="E87" s="2002"/>
      <c r="F87" s="2002"/>
      <c r="G87" s="2094"/>
      <c r="H87" s="2002">
        <v>37917</v>
      </c>
      <c r="I87" s="2094">
        <f>H87*30.126/1000</f>
        <v>1142.287542</v>
      </c>
      <c r="J87" s="2004">
        <v>16597</v>
      </c>
      <c r="K87" s="2003">
        <f t="shared" si="19"/>
        <v>500.001222</v>
      </c>
      <c r="L87" s="2001"/>
      <c r="M87" s="2002"/>
      <c r="N87" s="2002"/>
      <c r="O87" s="2005"/>
      <c r="Q87" s="1908"/>
    </row>
    <row r="88" spans="1:17" s="1907" customFormat="1" ht="15" customHeight="1">
      <c r="A88" s="1936"/>
      <c r="B88" s="1999"/>
      <c r="C88" s="2000" t="s">
        <v>1102</v>
      </c>
      <c r="D88" s="2001"/>
      <c r="E88" s="2002"/>
      <c r="F88" s="2002"/>
      <c r="G88" s="2094"/>
      <c r="H88" s="2002"/>
      <c r="I88" s="2094"/>
      <c r="J88" s="2004">
        <v>31350</v>
      </c>
      <c r="K88" s="2003">
        <f t="shared" si="19"/>
        <v>944.4501000000001</v>
      </c>
      <c r="L88" s="2001">
        <v>31350</v>
      </c>
      <c r="M88" s="2002">
        <f>L88*30.126/1000</f>
        <v>944.4501000000001</v>
      </c>
      <c r="N88" s="2002"/>
      <c r="O88" s="2005"/>
      <c r="Q88" s="1908"/>
    </row>
    <row r="89" spans="1:17" s="1907" customFormat="1" ht="15" customHeight="1">
      <c r="A89" s="1936"/>
      <c r="B89" s="1999"/>
      <c r="C89" s="2000" t="s">
        <v>769</v>
      </c>
      <c r="D89" s="2001"/>
      <c r="E89" s="2002"/>
      <c r="F89" s="2002"/>
      <c r="G89" s="2094"/>
      <c r="H89" s="2002">
        <v>5975</v>
      </c>
      <c r="I89" s="2094">
        <f>H89*30.126/1000</f>
        <v>180.00285</v>
      </c>
      <c r="J89" s="2004">
        <v>3319</v>
      </c>
      <c r="K89" s="2003">
        <f t="shared" si="19"/>
        <v>99.98819400000001</v>
      </c>
      <c r="L89" s="2001"/>
      <c r="M89" s="2002"/>
      <c r="N89" s="2002"/>
      <c r="O89" s="2005"/>
      <c r="Q89" s="1908"/>
    </row>
    <row r="90" spans="1:17" s="1907" customFormat="1" ht="15" customHeight="1">
      <c r="A90" s="1936"/>
      <c r="B90" s="1999"/>
      <c r="C90" s="2000" t="s">
        <v>770</v>
      </c>
      <c r="D90" s="2001"/>
      <c r="E90" s="2002"/>
      <c r="F90" s="2002"/>
      <c r="G90" s="2094"/>
      <c r="H90" s="2002">
        <v>6215</v>
      </c>
      <c r="I90" s="2094">
        <f>H90*30.126/1000</f>
        <v>187.23309</v>
      </c>
      <c r="J90" s="2004">
        <v>4315</v>
      </c>
      <c r="K90" s="2003">
        <f t="shared" si="19"/>
        <v>129.99369000000002</v>
      </c>
      <c r="L90" s="2001"/>
      <c r="M90" s="2002"/>
      <c r="N90" s="2002"/>
      <c r="O90" s="2005"/>
      <c r="Q90" s="1908"/>
    </row>
    <row r="91" spans="1:17" s="1907" customFormat="1" ht="15" customHeight="1">
      <c r="A91" s="1936"/>
      <c r="B91" s="1999"/>
      <c r="C91" s="2000" t="s">
        <v>771</v>
      </c>
      <c r="D91" s="2001"/>
      <c r="E91" s="2002"/>
      <c r="F91" s="2002"/>
      <c r="G91" s="2094"/>
      <c r="H91" s="2002"/>
      <c r="I91" s="2094"/>
      <c r="J91" s="2004"/>
      <c r="K91" s="2003">
        <f t="shared" si="19"/>
        <v>0</v>
      </c>
      <c r="L91" s="2001">
        <v>55000</v>
      </c>
      <c r="M91" s="2002">
        <f>L91*30.126/1000</f>
        <v>1656.93</v>
      </c>
      <c r="N91" s="2002">
        <v>55000</v>
      </c>
      <c r="O91" s="2005">
        <f>N91*30.126/1000</f>
        <v>1656.93</v>
      </c>
      <c r="Q91" s="1908"/>
    </row>
    <row r="92" spans="1:17" s="1907" customFormat="1" ht="15" customHeight="1">
      <c r="A92" s="1936"/>
      <c r="B92" s="1999"/>
      <c r="C92" s="2000" t="s">
        <v>772</v>
      </c>
      <c r="D92" s="2001"/>
      <c r="E92" s="2002"/>
      <c r="F92" s="2002"/>
      <c r="G92" s="2094"/>
      <c r="H92" s="2002"/>
      <c r="I92" s="2094"/>
      <c r="J92" s="2004">
        <v>20000</v>
      </c>
      <c r="K92" s="2003">
        <f t="shared" si="19"/>
        <v>602.52</v>
      </c>
      <c r="L92" s="2001"/>
      <c r="M92" s="2002"/>
      <c r="N92" s="2002"/>
      <c r="O92" s="2005"/>
      <c r="Q92" s="1908"/>
    </row>
    <row r="93" spans="1:17" s="1907" customFormat="1" ht="15" customHeight="1">
      <c r="A93" s="1936"/>
      <c r="B93" s="1999"/>
      <c r="C93" s="2000" t="s">
        <v>955</v>
      </c>
      <c r="D93" s="2001"/>
      <c r="E93" s="2002"/>
      <c r="F93" s="2002"/>
      <c r="G93" s="2094"/>
      <c r="H93" s="2002"/>
      <c r="I93" s="2094"/>
      <c r="J93" s="2004">
        <v>10000</v>
      </c>
      <c r="K93" s="2003">
        <f t="shared" si="19"/>
        <v>301.26</v>
      </c>
      <c r="L93" s="2001"/>
      <c r="M93" s="2002"/>
      <c r="N93" s="2002"/>
      <c r="O93" s="2005"/>
      <c r="Q93" s="1908"/>
    </row>
    <row r="94" spans="1:17" s="1907" customFormat="1" ht="15" customHeight="1">
      <c r="A94" s="1936"/>
      <c r="B94" s="1999"/>
      <c r="C94" s="2000" t="s">
        <v>106</v>
      </c>
      <c r="D94" s="2001"/>
      <c r="E94" s="2002"/>
      <c r="F94" s="2002"/>
      <c r="G94" s="2094"/>
      <c r="H94" s="2002"/>
      <c r="I94" s="2094"/>
      <c r="J94" s="2004"/>
      <c r="K94" s="2003"/>
      <c r="L94" s="2001"/>
      <c r="M94" s="2002"/>
      <c r="N94" s="2002">
        <v>15000</v>
      </c>
      <c r="O94" s="2005">
        <f>N94*30.126/1000</f>
        <v>451.89</v>
      </c>
      <c r="Q94" s="1908"/>
    </row>
    <row r="95" spans="1:17" s="400" customFormat="1" ht="15" customHeight="1">
      <c r="A95" s="1937"/>
      <c r="B95" s="2006"/>
      <c r="C95" s="1906" t="s">
        <v>773</v>
      </c>
      <c r="D95" s="2007"/>
      <c r="E95" s="1948"/>
      <c r="F95" s="1948"/>
      <c r="G95" s="2089"/>
      <c r="H95" s="1948"/>
      <c r="I95" s="2094"/>
      <c r="J95" s="1899"/>
      <c r="K95" s="2003"/>
      <c r="L95" s="2007"/>
      <c r="M95" s="2002"/>
      <c r="N95" s="1948"/>
      <c r="O95" s="2005"/>
      <c r="Q95" s="401"/>
    </row>
    <row r="96" spans="1:17" s="400" customFormat="1" ht="15" customHeight="1">
      <c r="A96" s="1937"/>
      <c r="B96" s="2006"/>
      <c r="C96" s="1906" t="s">
        <v>774</v>
      </c>
      <c r="D96" s="2007"/>
      <c r="E96" s="1948"/>
      <c r="F96" s="1948"/>
      <c r="G96" s="2089"/>
      <c r="H96" s="1948"/>
      <c r="I96" s="2094"/>
      <c r="J96" s="1899">
        <v>30500</v>
      </c>
      <c r="K96" s="2003">
        <f t="shared" si="19"/>
        <v>918.843</v>
      </c>
      <c r="L96" s="2007">
        <v>28000</v>
      </c>
      <c r="M96" s="2002">
        <f>L96*30.126/1000</f>
        <v>843.528</v>
      </c>
      <c r="N96" s="1948">
        <v>30018</v>
      </c>
      <c r="O96" s="2005">
        <f>N96*30.126/1000</f>
        <v>904.322268</v>
      </c>
      <c r="Q96" s="401"/>
    </row>
    <row r="97" spans="1:17" s="400" customFormat="1" ht="15" customHeight="1">
      <c r="A97" s="1937"/>
      <c r="B97" s="2006"/>
      <c r="C97" s="1906" t="s">
        <v>807</v>
      </c>
      <c r="D97" s="2007"/>
      <c r="E97" s="1948"/>
      <c r="F97" s="1948"/>
      <c r="G97" s="2089"/>
      <c r="H97" s="1948"/>
      <c r="I97" s="2094"/>
      <c r="J97" s="1899">
        <v>38949</v>
      </c>
      <c r="K97" s="2003">
        <f t="shared" si="19"/>
        <v>1173.377574</v>
      </c>
      <c r="L97" s="2007"/>
      <c r="M97" s="2002"/>
      <c r="N97" s="1948"/>
      <c r="O97" s="2005"/>
      <c r="Q97" s="401"/>
    </row>
    <row r="98" spans="1:17" s="400" customFormat="1" ht="15" customHeight="1">
      <c r="A98" s="1937"/>
      <c r="B98" s="2006"/>
      <c r="C98" s="1906" t="s">
        <v>956</v>
      </c>
      <c r="D98" s="2007"/>
      <c r="E98" s="1948"/>
      <c r="F98" s="1948"/>
      <c r="G98" s="2089"/>
      <c r="H98" s="1948"/>
      <c r="I98" s="2094"/>
      <c r="J98" s="1899"/>
      <c r="K98" s="2003"/>
      <c r="L98" s="2007">
        <v>295</v>
      </c>
      <c r="M98" s="2002">
        <f>L98*30.126/1000</f>
        <v>8.88717</v>
      </c>
      <c r="N98" s="1948"/>
      <c r="O98" s="2005"/>
      <c r="Q98" s="401"/>
    </row>
    <row r="99" spans="1:17" s="400" customFormat="1" ht="15" customHeight="1">
      <c r="A99" s="1937"/>
      <c r="B99" s="2006"/>
      <c r="C99" s="1906" t="s">
        <v>804</v>
      </c>
      <c r="D99" s="2007"/>
      <c r="E99" s="1948"/>
      <c r="F99" s="1948"/>
      <c r="G99" s="2089"/>
      <c r="H99" s="1948"/>
      <c r="I99" s="2094"/>
      <c r="J99" s="1899">
        <v>48107</v>
      </c>
      <c r="K99" s="2003">
        <f t="shared" si="19"/>
        <v>1449.271482</v>
      </c>
      <c r="L99" s="2007">
        <v>48107</v>
      </c>
      <c r="M99" s="2002">
        <f>L99*30.126/1000</f>
        <v>1449.271482</v>
      </c>
      <c r="N99" s="1948"/>
      <c r="O99" s="2005"/>
      <c r="Q99" s="401"/>
    </row>
    <row r="100" spans="1:17" s="400" customFormat="1" ht="15" customHeight="1">
      <c r="A100" s="1937"/>
      <c r="B100" s="2006"/>
      <c r="C100" s="1906" t="s">
        <v>521</v>
      </c>
      <c r="D100" s="2007"/>
      <c r="E100" s="1948"/>
      <c r="F100" s="1948"/>
      <c r="G100" s="2089"/>
      <c r="H100" s="1948"/>
      <c r="I100" s="2094"/>
      <c r="J100" s="1899">
        <v>14582</v>
      </c>
      <c r="K100" s="2003">
        <f t="shared" si="19"/>
        <v>439.297332</v>
      </c>
      <c r="L100" s="2007"/>
      <c r="M100" s="2002"/>
      <c r="N100" s="1948"/>
      <c r="O100" s="2005"/>
      <c r="Q100" s="401"/>
    </row>
    <row r="101" spans="1:17" s="400" customFormat="1" ht="15" customHeight="1">
      <c r="A101" s="1937"/>
      <c r="B101" s="2006"/>
      <c r="C101" s="1906" t="s">
        <v>957</v>
      </c>
      <c r="D101" s="2007"/>
      <c r="E101" s="1948"/>
      <c r="F101" s="1948"/>
      <c r="G101" s="2089"/>
      <c r="H101" s="1948"/>
      <c r="I101" s="2094"/>
      <c r="J101" s="1899">
        <v>30000</v>
      </c>
      <c r="K101" s="2003">
        <f t="shared" si="19"/>
        <v>903.78</v>
      </c>
      <c r="L101" s="2007">
        <v>30000</v>
      </c>
      <c r="M101" s="2002">
        <f>L101*30.126/1000</f>
        <v>903.78</v>
      </c>
      <c r="N101" s="1948">
        <v>30000</v>
      </c>
      <c r="O101" s="2005">
        <f>N101*30.126/1000</f>
        <v>903.78</v>
      </c>
      <c r="Q101" s="401"/>
    </row>
    <row r="102" spans="1:17" s="400" customFormat="1" ht="15" customHeight="1">
      <c r="A102" s="1937"/>
      <c r="B102" s="2006"/>
      <c r="C102" s="1906" t="s">
        <v>806</v>
      </c>
      <c r="D102" s="2007"/>
      <c r="E102" s="1948"/>
      <c r="F102" s="1948"/>
      <c r="G102" s="2089"/>
      <c r="H102" s="1948"/>
      <c r="I102" s="2094"/>
      <c r="J102" s="1899">
        <v>16000</v>
      </c>
      <c r="K102" s="2003">
        <f t="shared" si="19"/>
        <v>482.016</v>
      </c>
      <c r="L102" s="2007">
        <v>16000</v>
      </c>
      <c r="M102" s="2002">
        <f>L102*30.126/1000</f>
        <v>482.016</v>
      </c>
      <c r="N102" s="1948">
        <v>16000</v>
      </c>
      <c r="O102" s="2005">
        <f>N102*30.126/1000</f>
        <v>482.016</v>
      </c>
      <c r="Q102" s="401"/>
    </row>
    <row r="103" spans="1:17" s="400" customFormat="1" ht="15" customHeight="1">
      <c r="A103" s="1937"/>
      <c r="B103" s="2006"/>
      <c r="C103" s="1906" t="s">
        <v>775</v>
      </c>
      <c r="D103" s="2007"/>
      <c r="E103" s="1948"/>
      <c r="F103" s="1948"/>
      <c r="G103" s="2089"/>
      <c r="H103" s="1948">
        <v>192525</v>
      </c>
      <c r="I103" s="2094">
        <f aca="true" t="shared" si="20" ref="I103:I112">H103*30.126/1000</f>
        <v>5800.008150000001</v>
      </c>
      <c r="J103" s="1899"/>
      <c r="K103" s="2003"/>
      <c r="L103" s="2007"/>
      <c r="M103" s="2002"/>
      <c r="N103" s="1948"/>
      <c r="O103" s="2005"/>
      <c r="Q103" s="401"/>
    </row>
    <row r="104" spans="1:17" s="400" customFormat="1" ht="15" customHeight="1">
      <c r="A104" s="1937"/>
      <c r="B104" s="2006"/>
      <c r="C104" s="1906" t="s">
        <v>110</v>
      </c>
      <c r="D104" s="2007"/>
      <c r="E104" s="1948"/>
      <c r="F104" s="1948"/>
      <c r="G104" s="2089"/>
      <c r="H104" s="1948">
        <v>241</v>
      </c>
      <c r="I104" s="2094">
        <f t="shared" si="20"/>
        <v>7.260366</v>
      </c>
      <c r="J104" s="1899"/>
      <c r="K104" s="2003"/>
      <c r="L104" s="2007"/>
      <c r="M104" s="2002"/>
      <c r="N104" s="1948"/>
      <c r="O104" s="2005"/>
      <c r="Q104" s="401"/>
    </row>
    <row r="105" spans="1:17" s="400" customFormat="1" ht="15" customHeight="1">
      <c r="A105" s="1937"/>
      <c r="B105" s="2006"/>
      <c r="C105" s="1906" t="s">
        <v>776</v>
      </c>
      <c r="D105" s="2007"/>
      <c r="E105" s="1948"/>
      <c r="F105" s="1948"/>
      <c r="G105" s="2089"/>
      <c r="H105" s="1948">
        <v>1100</v>
      </c>
      <c r="I105" s="2094">
        <f t="shared" si="20"/>
        <v>33.1386</v>
      </c>
      <c r="J105" s="1899"/>
      <c r="K105" s="2003"/>
      <c r="L105" s="2007"/>
      <c r="M105" s="2002"/>
      <c r="N105" s="1948"/>
      <c r="O105" s="2005"/>
      <c r="Q105" s="401"/>
    </row>
    <row r="106" spans="1:17" s="400" customFormat="1" ht="15" customHeight="1">
      <c r="A106" s="1937"/>
      <c r="B106" s="2006"/>
      <c r="C106" s="1906" t="s">
        <v>777</v>
      </c>
      <c r="D106" s="2007"/>
      <c r="E106" s="1948"/>
      <c r="F106" s="1948"/>
      <c r="G106" s="2089"/>
      <c r="H106" s="1948">
        <v>6500</v>
      </c>
      <c r="I106" s="2094">
        <f t="shared" si="20"/>
        <v>195.819</v>
      </c>
      <c r="J106" s="1899"/>
      <c r="K106" s="2003"/>
      <c r="L106" s="2007"/>
      <c r="M106" s="2002"/>
      <c r="N106" s="1948"/>
      <c r="O106" s="2005"/>
      <c r="Q106" s="401"/>
    </row>
    <row r="107" spans="1:17" s="400" customFormat="1" ht="15" customHeight="1">
      <c r="A107" s="1937"/>
      <c r="B107" s="2006"/>
      <c r="C107" s="1906" t="s">
        <v>778</v>
      </c>
      <c r="D107" s="2007"/>
      <c r="E107" s="1948"/>
      <c r="F107" s="1948"/>
      <c r="G107" s="2089"/>
      <c r="H107" s="1948">
        <v>620</v>
      </c>
      <c r="I107" s="2094">
        <f t="shared" si="20"/>
        <v>18.67812</v>
      </c>
      <c r="J107" s="1899"/>
      <c r="K107" s="2003"/>
      <c r="L107" s="2007"/>
      <c r="M107" s="2002"/>
      <c r="N107" s="1948"/>
      <c r="O107" s="2005"/>
      <c r="Q107" s="401"/>
    </row>
    <row r="108" spans="1:17" s="400" customFormat="1" ht="15" customHeight="1">
      <c r="A108" s="1937"/>
      <c r="B108" s="2006"/>
      <c r="C108" s="1906" t="s">
        <v>779</v>
      </c>
      <c r="D108" s="2007"/>
      <c r="E108" s="1948"/>
      <c r="F108" s="1948"/>
      <c r="G108" s="2089"/>
      <c r="H108" s="1948">
        <v>4719</v>
      </c>
      <c r="I108" s="2094">
        <f t="shared" si="20"/>
        <v>142.16459400000002</v>
      </c>
      <c r="J108" s="1899"/>
      <c r="K108" s="2003"/>
      <c r="L108" s="2007"/>
      <c r="M108" s="2002"/>
      <c r="N108" s="1948"/>
      <c r="O108" s="2005"/>
      <c r="Q108" s="401"/>
    </row>
    <row r="109" spans="1:17" s="400" customFormat="1" ht="15" customHeight="1">
      <c r="A109" s="1937"/>
      <c r="B109" s="2006"/>
      <c r="C109" s="1906" t="s">
        <v>780</v>
      </c>
      <c r="D109" s="2007"/>
      <c r="E109" s="1948"/>
      <c r="F109" s="1948"/>
      <c r="G109" s="2089"/>
      <c r="H109" s="1948">
        <v>1928</v>
      </c>
      <c r="I109" s="2094">
        <f t="shared" si="20"/>
        <v>58.082928</v>
      </c>
      <c r="J109" s="1899"/>
      <c r="K109" s="2003"/>
      <c r="L109" s="2007"/>
      <c r="M109" s="2002"/>
      <c r="N109" s="1948"/>
      <c r="O109" s="2005"/>
      <c r="Q109" s="401"/>
    </row>
    <row r="110" spans="1:17" s="400" customFormat="1" ht="15" customHeight="1">
      <c r="A110" s="1937"/>
      <c r="B110" s="2006"/>
      <c r="C110" s="1906" t="s">
        <v>107</v>
      </c>
      <c r="D110" s="2007"/>
      <c r="E110" s="1948"/>
      <c r="F110" s="1948"/>
      <c r="G110" s="2089"/>
      <c r="H110" s="1948">
        <v>11838</v>
      </c>
      <c r="I110" s="2094">
        <f t="shared" si="20"/>
        <v>356.63158799999997</v>
      </c>
      <c r="J110" s="1899"/>
      <c r="K110" s="2003"/>
      <c r="L110" s="2007"/>
      <c r="M110" s="2002"/>
      <c r="N110" s="1948"/>
      <c r="O110" s="2005"/>
      <c r="Q110" s="401"/>
    </row>
    <row r="111" spans="1:17" s="400" customFormat="1" ht="15" customHeight="1">
      <c r="A111" s="1937"/>
      <c r="B111" s="2006"/>
      <c r="C111" s="1906" t="s">
        <v>108</v>
      </c>
      <c r="D111" s="2007"/>
      <c r="E111" s="1948"/>
      <c r="F111" s="1948"/>
      <c r="G111" s="2089"/>
      <c r="H111" s="1948">
        <v>8000</v>
      </c>
      <c r="I111" s="2094">
        <f t="shared" si="20"/>
        <v>241.008</v>
      </c>
      <c r="J111" s="1899"/>
      <c r="K111" s="2003"/>
      <c r="L111" s="2007"/>
      <c r="M111" s="2002"/>
      <c r="N111" s="1948"/>
      <c r="O111" s="2005"/>
      <c r="Q111" s="401"/>
    </row>
    <row r="112" spans="1:17" s="400" customFormat="1" ht="15" customHeight="1">
      <c r="A112" s="1937"/>
      <c r="B112" s="2006"/>
      <c r="C112" s="1906" t="s">
        <v>109</v>
      </c>
      <c r="D112" s="2007"/>
      <c r="E112" s="1948"/>
      <c r="F112" s="1948"/>
      <c r="G112" s="2089"/>
      <c r="H112" s="1948">
        <v>3000</v>
      </c>
      <c r="I112" s="2094">
        <f t="shared" si="20"/>
        <v>90.378</v>
      </c>
      <c r="J112" s="1899"/>
      <c r="K112" s="2003"/>
      <c r="L112" s="2007"/>
      <c r="M112" s="2002"/>
      <c r="N112" s="1948"/>
      <c r="O112" s="2005"/>
      <c r="Q112" s="401"/>
    </row>
    <row r="113" spans="1:17" s="1891" customFormat="1" ht="19.5" customHeight="1">
      <c r="A113" s="1943"/>
      <c r="B113" s="1944"/>
      <c r="C113" s="1938" t="s">
        <v>877</v>
      </c>
      <c r="D113" s="1939"/>
      <c r="E113" s="1940"/>
      <c r="F113" s="1940"/>
      <c r="G113" s="2083"/>
      <c r="H113" s="1940">
        <f>SUM(H114:H129)</f>
        <v>954486</v>
      </c>
      <c r="I113" s="2083">
        <f aca="true" t="shared" si="21" ref="I113:O113">SUM(I114:I129)</f>
        <v>28754.845236</v>
      </c>
      <c r="J113" s="1942">
        <f t="shared" si="21"/>
        <v>13772160</v>
      </c>
      <c r="K113" s="1941">
        <f t="shared" si="21"/>
        <v>414900.09216</v>
      </c>
      <c r="L113" s="1939">
        <f t="shared" si="21"/>
        <v>8848888</v>
      </c>
      <c r="M113" s="1940">
        <f t="shared" si="21"/>
        <v>266581.599888</v>
      </c>
      <c r="N113" s="1940">
        <f t="shared" si="21"/>
        <v>1202360</v>
      </c>
      <c r="O113" s="1953">
        <f t="shared" si="21"/>
        <v>36222.297360000004</v>
      </c>
      <c r="Q113" s="1892"/>
    </row>
    <row r="114" spans="1:17" s="400" customFormat="1" ht="15" customHeight="1">
      <c r="A114" s="1912"/>
      <c r="B114" s="2015"/>
      <c r="C114" s="2016" t="s">
        <v>804</v>
      </c>
      <c r="D114" s="2017"/>
      <c r="E114" s="1860"/>
      <c r="F114" s="1860"/>
      <c r="G114" s="2096"/>
      <c r="H114" s="1860"/>
      <c r="I114" s="2093"/>
      <c r="J114" s="2019">
        <v>1766598</v>
      </c>
      <c r="K114" s="2018">
        <f>J114*30.126/1000</f>
        <v>53220.531348000004</v>
      </c>
      <c r="L114" s="2017">
        <v>1766598</v>
      </c>
      <c r="M114" s="1860">
        <f>L114*30.126/1000</f>
        <v>53220.531348000004</v>
      </c>
      <c r="N114" s="1860"/>
      <c r="O114" s="2020"/>
      <c r="Q114" s="401"/>
    </row>
    <row r="115" spans="1:17" s="400" customFormat="1" ht="15" customHeight="1">
      <c r="A115" s="1937"/>
      <c r="B115" s="2006"/>
      <c r="C115" s="1906" t="s">
        <v>781</v>
      </c>
      <c r="D115" s="2007"/>
      <c r="E115" s="1948"/>
      <c r="F115" s="1948"/>
      <c r="G115" s="2089"/>
      <c r="H115" s="1948"/>
      <c r="I115" s="2094"/>
      <c r="J115" s="1899">
        <v>886895</v>
      </c>
      <c r="K115" s="1900">
        <f>J115*30.126/1000</f>
        <v>26718.59877</v>
      </c>
      <c r="L115" s="2007">
        <v>886895</v>
      </c>
      <c r="M115" s="1948">
        <f>L115*30.126/1000</f>
        <v>26718.59877</v>
      </c>
      <c r="N115" s="1948"/>
      <c r="O115" s="1901"/>
      <c r="Q115" s="401"/>
    </row>
    <row r="116" spans="1:17" s="400" customFormat="1" ht="15" customHeight="1">
      <c r="A116" s="1937"/>
      <c r="B116" s="2006"/>
      <c r="C116" s="1906" t="s">
        <v>807</v>
      </c>
      <c r="D116" s="2007"/>
      <c r="E116" s="1948"/>
      <c r="F116" s="1948"/>
      <c r="G116" s="2089"/>
      <c r="H116" s="1948"/>
      <c r="I116" s="2094"/>
      <c r="J116" s="1899">
        <v>1342883</v>
      </c>
      <c r="K116" s="1900">
        <f aca="true" t="shared" si="22" ref="K116:K129">J116*30.126/1000</f>
        <v>40455.693258</v>
      </c>
      <c r="L116" s="2007"/>
      <c r="M116" s="1948"/>
      <c r="N116" s="1948"/>
      <c r="O116" s="1901"/>
      <c r="Q116" s="401"/>
    </row>
    <row r="117" spans="1:17" s="400" customFormat="1" ht="15" customHeight="1">
      <c r="A117" s="1937"/>
      <c r="B117" s="2006"/>
      <c r="C117" s="1906" t="s">
        <v>956</v>
      </c>
      <c r="D117" s="2007"/>
      <c r="E117" s="1948"/>
      <c r="F117" s="1948"/>
      <c r="G117" s="2089"/>
      <c r="H117" s="1948"/>
      <c r="I117" s="2094"/>
      <c r="J117" s="1899"/>
      <c r="K117" s="1900"/>
      <c r="L117" s="2007">
        <v>96425</v>
      </c>
      <c r="M117" s="1948">
        <f>L117*30.126/1000</f>
        <v>2904.89955</v>
      </c>
      <c r="N117" s="1948"/>
      <c r="O117" s="1901"/>
      <c r="Q117" s="401"/>
    </row>
    <row r="118" spans="1:17" s="400" customFormat="1" ht="15" customHeight="1">
      <c r="A118" s="1937"/>
      <c r="B118" s="2006"/>
      <c r="C118" s="1906" t="s">
        <v>958</v>
      </c>
      <c r="D118" s="2007"/>
      <c r="E118" s="1948"/>
      <c r="F118" s="1948"/>
      <c r="G118" s="2089"/>
      <c r="H118" s="1948"/>
      <c r="I118" s="2094"/>
      <c r="J118" s="1899">
        <v>39833</v>
      </c>
      <c r="K118" s="1900">
        <f t="shared" si="22"/>
        <v>1200.0089580000001</v>
      </c>
      <c r="L118" s="2007"/>
      <c r="M118" s="1948"/>
      <c r="N118" s="1948"/>
      <c r="O118" s="1901"/>
      <c r="Q118" s="401"/>
    </row>
    <row r="119" spans="1:17" s="400" customFormat="1" ht="15" customHeight="1">
      <c r="A119" s="1937"/>
      <c r="B119" s="2006"/>
      <c r="C119" s="1906" t="s">
        <v>782</v>
      </c>
      <c r="D119" s="2007"/>
      <c r="E119" s="1948"/>
      <c r="F119" s="1948"/>
      <c r="G119" s="2089"/>
      <c r="H119" s="1948"/>
      <c r="I119" s="2094"/>
      <c r="J119" s="1899"/>
      <c r="K119" s="1900"/>
      <c r="L119" s="2007"/>
      <c r="M119" s="1948"/>
      <c r="N119" s="1948"/>
      <c r="O119" s="1901"/>
      <c r="Q119" s="401"/>
    </row>
    <row r="120" spans="1:17" s="400" customFormat="1" ht="15" customHeight="1">
      <c r="A120" s="1937"/>
      <c r="B120" s="2006"/>
      <c r="C120" s="1906" t="s">
        <v>783</v>
      </c>
      <c r="D120" s="2007"/>
      <c r="E120" s="1948"/>
      <c r="F120" s="1948"/>
      <c r="G120" s="2089"/>
      <c r="H120" s="1948"/>
      <c r="I120" s="2094"/>
      <c r="J120" s="1899">
        <v>1846720</v>
      </c>
      <c r="K120" s="1900">
        <f t="shared" si="22"/>
        <v>55634.28672</v>
      </c>
      <c r="L120" s="2007">
        <v>1231147</v>
      </c>
      <c r="M120" s="1948">
        <f aca="true" t="shared" si="23" ref="M120:M128">L120*30.126/1000</f>
        <v>37089.534522</v>
      </c>
      <c r="N120" s="1948"/>
      <c r="O120" s="1901"/>
      <c r="Q120" s="401"/>
    </row>
    <row r="121" spans="1:17" s="400" customFormat="1" ht="15" customHeight="1">
      <c r="A121" s="1937"/>
      <c r="B121" s="2006"/>
      <c r="C121" s="1906" t="s">
        <v>253</v>
      </c>
      <c r="D121" s="2007"/>
      <c r="E121" s="1948"/>
      <c r="F121" s="1948"/>
      <c r="G121" s="2089"/>
      <c r="H121" s="1948"/>
      <c r="I121" s="2094"/>
      <c r="J121" s="1899">
        <v>444710</v>
      </c>
      <c r="K121" s="1900">
        <f t="shared" si="22"/>
        <v>13397.333460000002</v>
      </c>
      <c r="L121" s="2007"/>
      <c r="M121" s="1948"/>
      <c r="N121" s="1948"/>
      <c r="O121" s="1901"/>
      <c r="Q121" s="401"/>
    </row>
    <row r="122" spans="1:17" s="400" customFormat="1" ht="15" customHeight="1">
      <c r="A122" s="1937"/>
      <c r="B122" s="2006"/>
      <c r="C122" s="1906" t="s">
        <v>959</v>
      </c>
      <c r="D122" s="2007"/>
      <c r="E122" s="1948"/>
      <c r="F122" s="1948"/>
      <c r="G122" s="2089"/>
      <c r="H122" s="1948"/>
      <c r="I122" s="2094"/>
      <c r="J122" s="1899">
        <v>633797</v>
      </c>
      <c r="K122" s="1900">
        <f t="shared" si="22"/>
        <v>19093.768422</v>
      </c>
      <c r="L122" s="2007"/>
      <c r="M122" s="1948"/>
      <c r="N122" s="1948"/>
      <c r="O122" s="1901"/>
      <c r="Q122" s="401"/>
    </row>
    <row r="123" spans="1:17" s="400" customFormat="1" ht="15" customHeight="1">
      <c r="A123" s="1937"/>
      <c r="B123" s="2006"/>
      <c r="C123" s="1906" t="s">
        <v>805</v>
      </c>
      <c r="D123" s="2007"/>
      <c r="E123" s="1948"/>
      <c r="F123" s="1948"/>
      <c r="G123" s="2089"/>
      <c r="H123" s="1948"/>
      <c r="I123" s="2094"/>
      <c r="J123" s="1899"/>
      <c r="K123" s="1900"/>
      <c r="L123" s="2007">
        <v>232360</v>
      </c>
      <c r="M123" s="1948">
        <f t="shared" si="23"/>
        <v>7000.07736</v>
      </c>
      <c r="N123" s="1948">
        <v>232360</v>
      </c>
      <c r="O123" s="1901">
        <f>N123*30.126/1000</f>
        <v>7000.07736</v>
      </c>
      <c r="Q123" s="401"/>
    </row>
    <row r="124" spans="1:17" s="400" customFormat="1" ht="15" customHeight="1">
      <c r="A124" s="1937"/>
      <c r="B124" s="2006"/>
      <c r="C124" s="1906" t="s">
        <v>521</v>
      </c>
      <c r="D124" s="2007"/>
      <c r="E124" s="1948"/>
      <c r="F124" s="1948"/>
      <c r="G124" s="2089"/>
      <c r="H124" s="1948"/>
      <c r="I124" s="2094"/>
      <c r="J124" s="1899">
        <v>486115</v>
      </c>
      <c r="K124" s="1900">
        <f t="shared" si="22"/>
        <v>14644.700490000001</v>
      </c>
      <c r="L124" s="2007"/>
      <c r="M124" s="1948"/>
      <c r="N124" s="1948"/>
      <c r="O124" s="1901"/>
      <c r="Q124" s="401"/>
    </row>
    <row r="125" spans="1:17" s="400" customFormat="1" ht="15" customHeight="1">
      <c r="A125" s="1937"/>
      <c r="B125" s="2006"/>
      <c r="C125" s="1906" t="s">
        <v>957</v>
      </c>
      <c r="D125" s="2007"/>
      <c r="E125" s="1948"/>
      <c r="F125" s="1948"/>
      <c r="G125" s="2089"/>
      <c r="H125" s="1948"/>
      <c r="I125" s="2094"/>
      <c r="J125" s="1899">
        <v>970000</v>
      </c>
      <c r="K125" s="1900">
        <f t="shared" si="22"/>
        <v>29222.22</v>
      </c>
      <c r="L125" s="2007">
        <v>970000</v>
      </c>
      <c r="M125" s="1948">
        <f t="shared" si="23"/>
        <v>29222.22</v>
      </c>
      <c r="N125" s="1948">
        <v>970000</v>
      </c>
      <c r="O125" s="1901">
        <f>N125*30.126/1000</f>
        <v>29222.22</v>
      </c>
      <c r="Q125" s="401"/>
    </row>
    <row r="126" spans="1:17" s="400" customFormat="1" ht="15" customHeight="1">
      <c r="A126" s="1937"/>
      <c r="B126" s="2006"/>
      <c r="C126" s="1906" t="s">
        <v>181</v>
      </c>
      <c r="D126" s="2007"/>
      <c r="E126" s="1948"/>
      <c r="F126" s="1948"/>
      <c r="G126" s="2089"/>
      <c r="H126" s="1948"/>
      <c r="I126" s="2094"/>
      <c r="J126" s="1899">
        <v>9958</v>
      </c>
      <c r="K126" s="1900">
        <f t="shared" si="22"/>
        <v>299.994708</v>
      </c>
      <c r="L126" s="2007"/>
      <c r="M126" s="1948"/>
      <c r="N126" s="1948"/>
      <c r="O126" s="1901"/>
      <c r="Q126" s="401"/>
    </row>
    <row r="127" spans="1:17" s="400" customFormat="1" ht="15" customHeight="1">
      <c r="A127" s="1937"/>
      <c r="B127" s="2006"/>
      <c r="C127" s="1906" t="s">
        <v>808</v>
      </c>
      <c r="D127" s="2007"/>
      <c r="E127" s="1948"/>
      <c r="F127" s="1948"/>
      <c r="G127" s="2089"/>
      <c r="H127" s="1948">
        <v>862729</v>
      </c>
      <c r="I127" s="2094">
        <f>H127*30.126/1000</f>
        <v>25990.573854000002</v>
      </c>
      <c r="J127" s="1899">
        <v>5087125</v>
      </c>
      <c r="K127" s="1900">
        <f t="shared" si="22"/>
        <v>153254.72775</v>
      </c>
      <c r="L127" s="2007">
        <v>3634292</v>
      </c>
      <c r="M127" s="1948">
        <f t="shared" si="23"/>
        <v>109486.68079200001</v>
      </c>
      <c r="N127" s="1948"/>
      <c r="O127" s="1901"/>
      <c r="Q127" s="401"/>
    </row>
    <row r="128" spans="1:17" s="400" customFormat="1" ht="25.5">
      <c r="A128" s="1937"/>
      <c r="B128" s="2027"/>
      <c r="C128" s="2029" t="s">
        <v>324</v>
      </c>
      <c r="D128" s="2028"/>
      <c r="E128" s="1976"/>
      <c r="F128" s="1976"/>
      <c r="G128" s="2090"/>
      <c r="H128" s="1976"/>
      <c r="I128" s="2110"/>
      <c r="J128" s="1975">
        <v>218201</v>
      </c>
      <c r="K128" s="1900">
        <f t="shared" si="22"/>
        <v>6573.523326</v>
      </c>
      <c r="L128" s="2028">
        <v>31171</v>
      </c>
      <c r="M128" s="1948">
        <f t="shared" si="23"/>
        <v>939.0575460000001</v>
      </c>
      <c r="N128" s="1976"/>
      <c r="O128" s="1901"/>
      <c r="Q128" s="401"/>
    </row>
    <row r="129" spans="1:17" s="400" customFormat="1" ht="25.5">
      <c r="A129" s="1935"/>
      <c r="B129" s="2008"/>
      <c r="C129" s="2021" t="s">
        <v>252</v>
      </c>
      <c r="D129" s="2010"/>
      <c r="E129" s="2011"/>
      <c r="F129" s="2011"/>
      <c r="G129" s="2095"/>
      <c r="H129" s="2011">
        <v>91757</v>
      </c>
      <c r="I129" s="2095">
        <f>H129*30.126/1000</f>
        <v>2764.2713820000004</v>
      </c>
      <c r="J129" s="2013">
        <v>39325</v>
      </c>
      <c r="K129" s="2012">
        <f t="shared" si="22"/>
        <v>1184.70495</v>
      </c>
      <c r="L129" s="2010"/>
      <c r="M129" s="2011"/>
      <c r="N129" s="2011"/>
      <c r="O129" s="2014"/>
      <c r="Q129" s="401"/>
    </row>
    <row r="130" spans="1:17" s="400" customFormat="1" ht="20.25" customHeight="1">
      <c r="A130" s="2210" t="s">
        <v>799</v>
      </c>
      <c r="B130" s="2211"/>
      <c r="C130" s="2212" t="s">
        <v>784</v>
      </c>
      <c r="D130" s="2213"/>
      <c r="E130" s="2214"/>
      <c r="F130" s="2214"/>
      <c r="G130" s="2215"/>
      <c r="H130" s="2214">
        <f>H131+H142</f>
        <v>6638452</v>
      </c>
      <c r="I130" s="2215">
        <f aca="true" t="shared" si="24" ref="I130:O130">I131+I142</f>
        <v>199990.00495200002</v>
      </c>
      <c r="J130" s="2216">
        <f t="shared" si="24"/>
        <v>6560793</v>
      </c>
      <c r="K130" s="2217">
        <f t="shared" si="24"/>
        <v>197650.44991800003</v>
      </c>
      <c r="L130" s="2213">
        <f t="shared" si="24"/>
        <v>6560793</v>
      </c>
      <c r="M130" s="2214">
        <f t="shared" si="24"/>
        <v>197650.44991800003</v>
      </c>
      <c r="N130" s="2214">
        <f t="shared" si="24"/>
        <v>6560793</v>
      </c>
      <c r="O130" s="2218">
        <f t="shared" si="24"/>
        <v>197650.44991800003</v>
      </c>
      <c r="Q130" s="401"/>
    </row>
    <row r="131" spans="1:17" s="1891" customFormat="1" ht="19.5" customHeight="1">
      <c r="A131" s="1911"/>
      <c r="B131" s="1886"/>
      <c r="C131" s="1931" t="s">
        <v>876</v>
      </c>
      <c r="D131" s="1887"/>
      <c r="E131" s="1888"/>
      <c r="F131" s="1888"/>
      <c r="G131" s="2092"/>
      <c r="H131" s="1888">
        <f>SUM(H132:H141)</f>
        <v>6615852</v>
      </c>
      <c r="I131" s="2092">
        <f aca="true" t="shared" si="25" ref="I131:O131">SUM(I132:I141)</f>
        <v>199309.157352</v>
      </c>
      <c r="J131" s="1890">
        <f t="shared" si="25"/>
        <v>6560793</v>
      </c>
      <c r="K131" s="1889">
        <f t="shared" si="25"/>
        <v>197650.44991800003</v>
      </c>
      <c r="L131" s="1887">
        <f t="shared" si="25"/>
        <v>6560793</v>
      </c>
      <c r="M131" s="1888">
        <f t="shared" si="25"/>
        <v>197650.44991800003</v>
      </c>
      <c r="N131" s="1888">
        <f t="shared" si="25"/>
        <v>6560793</v>
      </c>
      <c r="O131" s="1952">
        <f t="shared" si="25"/>
        <v>197650.44991800003</v>
      </c>
      <c r="Q131" s="1892"/>
    </row>
    <row r="132" spans="1:17" s="400" customFormat="1" ht="15" customHeight="1">
      <c r="A132" s="1912"/>
      <c r="B132" s="1882"/>
      <c r="C132" s="2016" t="s">
        <v>785</v>
      </c>
      <c r="D132" s="2017"/>
      <c r="E132" s="1860"/>
      <c r="F132" s="1860"/>
      <c r="G132" s="2096"/>
      <c r="H132" s="1860">
        <v>67570</v>
      </c>
      <c r="I132" s="2093">
        <f>H132*30.126/1000</f>
        <v>2035.61382</v>
      </c>
      <c r="J132" s="2019">
        <v>67570</v>
      </c>
      <c r="K132" s="2018">
        <f>J132*30.126/1000</f>
        <v>2035.61382</v>
      </c>
      <c r="L132" s="2017">
        <v>67570</v>
      </c>
      <c r="M132" s="1860">
        <f>L132*30.126/1000</f>
        <v>2035.61382</v>
      </c>
      <c r="N132" s="1860">
        <v>67570</v>
      </c>
      <c r="O132" s="2020">
        <f>N132*30.126/1000</f>
        <v>2035.61382</v>
      </c>
      <c r="Q132" s="401"/>
    </row>
    <row r="133" spans="1:17" s="400" customFormat="1" ht="15" customHeight="1">
      <c r="A133" s="1937"/>
      <c r="B133" s="1882"/>
      <c r="C133" s="1906" t="s">
        <v>786</v>
      </c>
      <c r="D133" s="2007"/>
      <c r="E133" s="1948"/>
      <c r="F133" s="1948"/>
      <c r="G133" s="2089"/>
      <c r="H133" s="1948">
        <v>5720697</v>
      </c>
      <c r="I133" s="2094">
        <f aca="true" t="shared" si="26" ref="I133:I143">H133*30.126/1000</f>
        <v>172341.717822</v>
      </c>
      <c r="J133" s="1899">
        <v>5665638</v>
      </c>
      <c r="K133" s="1900">
        <f>J133*30.126/1000</f>
        <v>170683.01038800002</v>
      </c>
      <c r="L133" s="2007">
        <v>5665638</v>
      </c>
      <c r="M133" s="1948">
        <f>L133*30.126/1000</f>
        <v>170683.01038800002</v>
      </c>
      <c r="N133" s="1948">
        <v>5665638</v>
      </c>
      <c r="O133" s="1901">
        <f>N133*30.126/1000</f>
        <v>170683.01038800002</v>
      </c>
      <c r="Q133" s="401"/>
    </row>
    <row r="134" spans="1:17" s="400" customFormat="1" ht="15" customHeight="1">
      <c r="A134" s="1937"/>
      <c r="B134" s="1882"/>
      <c r="C134" s="1906" t="s">
        <v>787</v>
      </c>
      <c r="D134" s="2007"/>
      <c r="E134" s="1948"/>
      <c r="F134" s="1948"/>
      <c r="G134" s="2089"/>
      <c r="H134" s="1948">
        <v>37090</v>
      </c>
      <c r="I134" s="2094">
        <f t="shared" si="26"/>
        <v>1117.37334</v>
      </c>
      <c r="J134" s="1899">
        <v>37090</v>
      </c>
      <c r="K134" s="1900">
        <f aca="true" t="shared" si="27" ref="K134:K140">J134*30.126/1000</f>
        <v>1117.37334</v>
      </c>
      <c r="L134" s="2007">
        <v>37090</v>
      </c>
      <c r="M134" s="1948">
        <f aca="true" t="shared" si="28" ref="M134:M140">L134*30.126/1000</f>
        <v>1117.37334</v>
      </c>
      <c r="N134" s="1948">
        <v>37090</v>
      </c>
      <c r="O134" s="1901">
        <f aca="true" t="shared" si="29" ref="O134:O140">N134*30.126/1000</f>
        <v>1117.37334</v>
      </c>
      <c r="Q134" s="401"/>
    </row>
    <row r="135" spans="1:17" s="400" customFormat="1" ht="15" customHeight="1">
      <c r="A135" s="1937"/>
      <c r="B135" s="1882"/>
      <c r="C135" s="1906" t="s">
        <v>788</v>
      </c>
      <c r="D135" s="2007"/>
      <c r="E135" s="1948"/>
      <c r="F135" s="1948"/>
      <c r="G135" s="2089"/>
      <c r="H135" s="1948">
        <v>80108</v>
      </c>
      <c r="I135" s="2094">
        <f t="shared" si="26"/>
        <v>2413.333608</v>
      </c>
      <c r="J135" s="1899">
        <v>80108</v>
      </c>
      <c r="K135" s="1900">
        <f t="shared" si="27"/>
        <v>2413.333608</v>
      </c>
      <c r="L135" s="2007">
        <v>80108</v>
      </c>
      <c r="M135" s="1948">
        <f t="shared" si="28"/>
        <v>2413.333608</v>
      </c>
      <c r="N135" s="1948">
        <v>80108</v>
      </c>
      <c r="O135" s="1901">
        <f t="shared" si="29"/>
        <v>2413.333608</v>
      </c>
      <c r="Q135" s="401"/>
    </row>
    <row r="136" spans="1:17" s="400" customFormat="1" ht="15" customHeight="1">
      <c r="A136" s="1937"/>
      <c r="B136" s="1882"/>
      <c r="C136" s="1906" t="s">
        <v>960</v>
      </c>
      <c r="D136" s="2007"/>
      <c r="E136" s="1948"/>
      <c r="F136" s="1948"/>
      <c r="G136" s="2089"/>
      <c r="H136" s="1948">
        <v>588492</v>
      </c>
      <c r="I136" s="2094">
        <f t="shared" si="26"/>
        <v>17728.909992</v>
      </c>
      <c r="J136" s="1899">
        <v>588492</v>
      </c>
      <c r="K136" s="1900">
        <f t="shared" si="27"/>
        <v>17728.909992</v>
      </c>
      <c r="L136" s="2007">
        <v>588492</v>
      </c>
      <c r="M136" s="1948">
        <f t="shared" si="28"/>
        <v>17728.909992</v>
      </c>
      <c r="N136" s="1948">
        <v>588492</v>
      </c>
      <c r="O136" s="1901">
        <f t="shared" si="29"/>
        <v>17728.909992</v>
      </c>
      <c r="Q136" s="401"/>
    </row>
    <row r="137" spans="1:17" s="400" customFormat="1" ht="15" customHeight="1">
      <c r="A137" s="1937"/>
      <c r="B137" s="1882"/>
      <c r="C137" s="1906" t="s">
        <v>1209</v>
      </c>
      <c r="D137" s="2007"/>
      <c r="E137" s="1948"/>
      <c r="F137" s="1948"/>
      <c r="G137" s="2089"/>
      <c r="H137" s="1948">
        <v>61001</v>
      </c>
      <c r="I137" s="2094">
        <f t="shared" si="26"/>
        <v>1837.7161260000003</v>
      </c>
      <c r="J137" s="1899">
        <v>61001</v>
      </c>
      <c r="K137" s="1900">
        <f t="shared" si="27"/>
        <v>1837.7161260000003</v>
      </c>
      <c r="L137" s="2007">
        <v>61001</v>
      </c>
      <c r="M137" s="1948">
        <f t="shared" si="28"/>
        <v>1837.7161260000003</v>
      </c>
      <c r="N137" s="1948">
        <v>61001</v>
      </c>
      <c r="O137" s="1901">
        <f t="shared" si="29"/>
        <v>1837.7161260000003</v>
      </c>
      <c r="Q137" s="401"/>
    </row>
    <row r="138" spans="1:17" s="400" customFormat="1" ht="15" customHeight="1">
      <c r="A138" s="1937"/>
      <c r="B138" s="1882"/>
      <c r="C138" s="1906" t="s">
        <v>105</v>
      </c>
      <c r="D138" s="2007"/>
      <c r="E138" s="1948"/>
      <c r="F138" s="1948"/>
      <c r="G138" s="2089"/>
      <c r="H138" s="1948">
        <v>3024</v>
      </c>
      <c r="I138" s="2094">
        <f t="shared" si="26"/>
        <v>91.10102400000001</v>
      </c>
      <c r="J138" s="1899">
        <v>3024</v>
      </c>
      <c r="K138" s="1900">
        <f t="shared" si="27"/>
        <v>91.10102400000001</v>
      </c>
      <c r="L138" s="2007">
        <v>3024</v>
      </c>
      <c r="M138" s="1948">
        <f t="shared" si="28"/>
        <v>91.10102400000001</v>
      </c>
      <c r="N138" s="1948">
        <v>3024</v>
      </c>
      <c r="O138" s="1901">
        <f t="shared" si="29"/>
        <v>91.10102400000001</v>
      </c>
      <c r="Q138" s="401"/>
    </row>
    <row r="139" spans="1:17" s="400" customFormat="1" ht="15" customHeight="1">
      <c r="A139" s="1937"/>
      <c r="B139" s="1882"/>
      <c r="C139" s="1906" t="s">
        <v>789</v>
      </c>
      <c r="D139" s="2007"/>
      <c r="E139" s="1948"/>
      <c r="F139" s="1948"/>
      <c r="G139" s="2089"/>
      <c r="H139" s="1948">
        <v>25551</v>
      </c>
      <c r="I139" s="2094">
        <f t="shared" si="26"/>
        <v>769.749426</v>
      </c>
      <c r="J139" s="1899">
        <v>25551</v>
      </c>
      <c r="K139" s="1900">
        <f t="shared" si="27"/>
        <v>769.749426</v>
      </c>
      <c r="L139" s="2007">
        <v>25551</v>
      </c>
      <c r="M139" s="1948">
        <f t="shared" si="28"/>
        <v>769.749426</v>
      </c>
      <c r="N139" s="1948">
        <v>25551</v>
      </c>
      <c r="O139" s="1901">
        <f t="shared" si="29"/>
        <v>769.749426</v>
      </c>
      <c r="Q139" s="401"/>
    </row>
    <row r="140" spans="1:17" s="400" customFormat="1" ht="15" customHeight="1">
      <c r="A140" s="1937"/>
      <c r="B140" s="1882"/>
      <c r="C140" s="1906" t="s">
        <v>790</v>
      </c>
      <c r="D140" s="2007"/>
      <c r="E140" s="1948"/>
      <c r="F140" s="1948"/>
      <c r="G140" s="2089"/>
      <c r="H140" s="1948">
        <v>9866</v>
      </c>
      <c r="I140" s="2094">
        <f t="shared" si="26"/>
        <v>297.22311600000006</v>
      </c>
      <c r="J140" s="1899">
        <v>9866</v>
      </c>
      <c r="K140" s="1900">
        <f t="shared" si="27"/>
        <v>297.22311600000006</v>
      </c>
      <c r="L140" s="2007">
        <v>9866</v>
      </c>
      <c r="M140" s="1948">
        <f t="shared" si="28"/>
        <v>297.22311600000006</v>
      </c>
      <c r="N140" s="1948">
        <v>9866</v>
      </c>
      <c r="O140" s="1901">
        <f t="shared" si="29"/>
        <v>297.22311600000006</v>
      </c>
      <c r="Q140" s="401"/>
    </row>
    <row r="141" spans="1:17" s="400" customFormat="1" ht="15" customHeight="1">
      <c r="A141" s="1937"/>
      <c r="B141" s="1882"/>
      <c r="C141" s="2009" t="s">
        <v>791</v>
      </c>
      <c r="D141" s="2010"/>
      <c r="E141" s="2011"/>
      <c r="F141" s="2011"/>
      <c r="G141" s="2095"/>
      <c r="H141" s="2011">
        <v>22453</v>
      </c>
      <c r="I141" s="2109">
        <f t="shared" si="26"/>
        <v>676.419078</v>
      </c>
      <c r="J141" s="2013">
        <v>22453</v>
      </c>
      <c r="K141" s="2012">
        <f>J141*30.126/1000</f>
        <v>676.419078</v>
      </c>
      <c r="L141" s="2010">
        <v>22453</v>
      </c>
      <c r="M141" s="2011">
        <f>L141*30.126/1000</f>
        <v>676.419078</v>
      </c>
      <c r="N141" s="2011">
        <v>22453</v>
      </c>
      <c r="O141" s="2014">
        <f>N141*30.126/1000</f>
        <v>676.419078</v>
      </c>
      <c r="Q141" s="401"/>
    </row>
    <row r="142" spans="1:17" s="1891" customFormat="1" ht="19.5" customHeight="1">
      <c r="A142" s="1943"/>
      <c r="B142" s="1944"/>
      <c r="C142" s="1938" t="s">
        <v>877</v>
      </c>
      <c r="D142" s="1939"/>
      <c r="E142" s="1940"/>
      <c r="F142" s="1940"/>
      <c r="G142" s="2083"/>
      <c r="H142" s="1940">
        <f>H143</f>
        <v>22600</v>
      </c>
      <c r="I142" s="2083">
        <f>I143</f>
        <v>680.8475999999999</v>
      </c>
      <c r="J142" s="1942"/>
      <c r="K142" s="1941"/>
      <c r="L142" s="1939"/>
      <c r="M142" s="1940"/>
      <c r="N142" s="1940"/>
      <c r="O142" s="1953"/>
      <c r="Q142" s="1892"/>
    </row>
    <row r="143" spans="1:17" s="400" customFormat="1" ht="15" customHeight="1">
      <c r="A143" s="1912"/>
      <c r="B143" s="1882"/>
      <c r="C143" s="1932" t="s">
        <v>961</v>
      </c>
      <c r="D143" s="404"/>
      <c r="E143" s="403"/>
      <c r="F143" s="403"/>
      <c r="G143" s="755"/>
      <c r="H143" s="403">
        <v>22600</v>
      </c>
      <c r="I143" s="2111">
        <f t="shared" si="26"/>
        <v>680.8475999999999</v>
      </c>
      <c r="J143" s="1504"/>
      <c r="K143" s="756"/>
      <c r="L143" s="404"/>
      <c r="M143" s="403"/>
      <c r="N143" s="403"/>
      <c r="O143" s="967"/>
      <c r="Q143" s="401"/>
    </row>
    <row r="144" spans="1:17" s="400" customFormat="1" ht="20.25" customHeight="1">
      <c r="A144" s="2210" t="s">
        <v>800</v>
      </c>
      <c r="B144" s="2211"/>
      <c r="C144" s="2212" t="s">
        <v>792</v>
      </c>
      <c r="D144" s="2213"/>
      <c r="E144" s="2214"/>
      <c r="F144" s="2214"/>
      <c r="G144" s="2215"/>
      <c r="H144" s="2214">
        <f>H145</f>
        <v>191495</v>
      </c>
      <c r="I144" s="2215">
        <f aca="true" t="shared" si="30" ref="I144:O144">I145</f>
        <v>5768.978370000001</v>
      </c>
      <c r="J144" s="2216">
        <f t="shared" si="30"/>
        <v>195953</v>
      </c>
      <c r="K144" s="2217">
        <f t="shared" si="30"/>
        <v>5903.280078</v>
      </c>
      <c r="L144" s="2213">
        <f t="shared" si="30"/>
        <v>234627</v>
      </c>
      <c r="M144" s="2214">
        <f t="shared" si="30"/>
        <v>7068.373002</v>
      </c>
      <c r="N144" s="2214">
        <f t="shared" si="30"/>
        <v>234627</v>
      </c>
      <c r="O144" s="2218">
        <f t="shared" si="30"/>
        <v>7068.373002</v>
      </c>
      <c r="Q144" s="401"/>
    </row>
    <row r="145" spans="1:17" s="1891" customFormat="1" ht="19.5" customHeight="1">
      <c r="A145" s="1911"/>
      <c r="B145" s="1886"/>
      <c r="C145" s="1931" t="s">
        <v>876</v>
      </c>
      <c r="D145" s="1887"/>
      <c r="E145" s="1888"/>
      <c r="F145" s="1888"/>
      <c r="G145" s="2092"/>
      <c r="H145" s="1888">
        <f>SUM(H146:H148)</f>
        <v>191495</v>
      </c>
      <c r="I145" s="2092">
        <f aca="true" t="shared" si="31" ref="I145:O145">SUM(I146:I148)</f>
        <v>5768.978370000001</v>
      </c>
      <c r="J145" s="1890">
        <f t="shared" si="31"/>
        <v>195953</v>
      </c>
      <c r="K145" s="1889">
        <f t="shared" si="31"/>
        <v>5903.280078</v>
      </c>
      <c r="L145" s="1887">
        <f t="shared" si="31"/>
        <v>234627</v>
      </c>
      <c r="M145" s="1888">
        <f t="shared" si="31"/>
        <v>7068.373002</v>
      </c>
      <c r="N145" s="1888">
        <f t="shared" si="31"/>
        <v>234627</v>
      </c>
      <c r="O145" s="1952">
        <f t="shared" si="31"/>
        <v>7068.373002</v>
      </c>
      <c r="Q145" s="1892"/>
    </row>
    <row r="146" spans="1:17" s="400" customFormat="1" ht="15" customHeight="1">
      <c r="A146" s="1937"/>
      <c r="B146" s="1882"/>
      <c r="C146" s="2016" t="s">
        <v>793</v>
      </c>
      <c r="D146" s="2017"/>
      <c r="E146" s="1860"/>
      <c r="F146" s="1860"/>
      <c r="G146" s="2096"/>
      <c r="H146" s="1860">
        <v>8298</v>
      </c>
      <c r="I146" s="2093">
        <f>H146*30.126/1000</f>
        <v>249.98554800000002</v>
      </c>
      <c r="J146" s="2019">
        <v>8298</v>
      </c>
      <c r="K146" s="2018">
        <f>J146*30.126/1000</f>
        <v>249.98554800000002</v>
      </c>
      <c r="L146" s="2017">
        <v>8298</v>
      </c>
      <c r="M146" s="1860">
        <f>L146*30.126/1000</f>
        <v>249.98554800000002</v>
      </c>
      <c r="N146" s="1860">
        <v>8298</v>
      </c>
      <c r="O146" s="2020">
        <f>N146*30.126/1000</f>
        <v>249.98554800000002</v>
      </c>
      <c r="Q146" s="401"/>
    </row>
    <row r="147" spans="1:17" s="400" customFormat="1" ht="15" customHeight="1">
      <c r="A147" s="1937"/>
      <c r="B147" s="1882"/>
      <c r="C147" s="1906" t="s">
        <v>794</v>
      </c>
      <c r="D147" s="2007"/>
      <c r="E147" s="1948"/>
      <c r="F147" s="1948"/>
      <c r="G147" s="2089"/>
      <c r="H147" s="1948">
        <v>59749</v>
      </c>
      <c r="I147" s="2094">
        <f>H147*30.126/1000</f>
        <v>1799.998374</v>
      </c>
      <c r="J147" s="1899">
        <v>59749</v>
      </c>
      <c r="K147" s="1900">
        <f aca="true" t="shared" si="32" ref="K147:M148">J147*30.126/1000</f>
        <v>1799.998374</v>
      </c>
      <c r="L147" s="2007">
        <v>59749</v>
      </c>
      <c r="M147" s="1948">
        <f t="shared" si="32"/>
        <v>1799.998374</v>
      </c>
      <c r="N147" s="1948">
        <v>59749</v>
      </c>
      <c r="O147" s="1901">
        <f>N147*30.126/1000</f>
        <v>1799.998374</v>
      </c>
      <c r="Q147" s="401"/>
    </row>
    <row r="148" spans="1:17" s="400" customFormat="1" ht="15" customHeight="1">
      <c r="A148" s="1935"/>
      <c r="B148" s="1882"/>
      <c r="C148" s="2009" t="s">
        <v>920</v>
      </c>
      <c r="D148" s="2010"/>
      <c r="E148" s="2011"/>
      <c r="F148" s="2011"/>
      <c r="G148" s="2095"/>
      <c r="H148" s="2011">
        <v>123448</v>
      </c>
      <c r="I148" s="2109">
        <f>H148*30.126/1000</f>
        <v>3718.9944480000004</v>
      </c>
      <c r="J148" s="2013">
        <v>127906</v>
      </c>
      <c r="K148" s="2012">
        <f t="shared" si="32"/>
        <v>3853.296156</v>
      </c>
      <c r="L148" s="2010">
        <v>166580</v>
      </c>
      <c r="M148" s="2011">
        <f t="shared" si="32"/>
        <v>5018.38908</v>
      </c>
      <c r="N148" s="2011">
        <v>166580</v>
      </c>
      <c r="O148" s="2014">
        <f>N148*30.126/1000</f>
        <v>5018.38908</v>
      </c>
      <c r="Q148" s="401"/>
    </row>
    <row r="149" spans="1:17" s="400" customFormat="1" ht="20.25" customHeight="1">
      <c r="A149" s="2210" t="s">
        <v>801</v>
      </c>
      <c r="B149" s="2211"/>
      <c r="C149" s="2212" t="s">
        <v>802</v>
      </c>
      <c r="D149" s="2213"/>
      <c r="E149" s="2214"/>
      <c r="F149" s="2214"/>
      <c r="G149" s="2215"/>
      <c r="H149" s="2214">
        <f aca="true" t="shared" si="33" ref="H149:O149">H150</f>
        <v>639015</v>
      </c>
      <c r="I149" s="2215">
        <f t="shared" si="33"/>
        <v>19250.96589</v>
      </c>
      <c r="J149" s="2216">
        <f t="shared" si="33"/>
        <v>562327</v>
      </c>
      <c r="K149" s="2217">
        <f t="shared" si="33"/>
        <v>16940.663202</v>
      </c>
      <c r="L149" s="2213">
        <f t="shared" si="33"/>
        <v>562327</v>
      </c>
      <c r="M149" s="2214">
        <f t="shared" si="33"/>
        <v>16940.663202</v>
      </c>
      <c r="N149" s="2214">
        <f t="shared" si="33"/>
        <v>562327</v>
      </c>
      <c r="O149" s="2218">
        <f t="shared" si="33"/>
        <v>16940.663202</v>
      </c>
      <c r="Q149" s="401"/>
    </row>
    <row r="150" spans="1:17" s="1891" customFormat="1" ht="19.5" customHeight="1">
      <c r="A150" s="1911"/>
      <c r="B150" s="1886"/>
      <c r="C150" s="1931" t="s">
        <v>876</v>
      </c>
      <c r="D150" s="1887"/>
      <c r="E150" s="1888"/>
      <c r="F150" s="1888"/>
      <c r="G150" s="2092"/>
      <c r="H150" s="1888">
        <v>639015</v>
      </c>
      <c r="I150" s="2092">
        <f>H150*30.126/1000</f>
        <v>19250.96589</v>
      </c>
      <c r="J150" s="1890">
        <f>257027+305300</f>
        <v>562327</v>
      </c>
      <c r="K150" s="1889">
        <f>J150*30.126/1000</f>
        <v>16940.663202</v>
      </c>
      <c r="L150" s="1887">
        <f>257027+305300</f>
        <v>562327</v>
      </c>
      <c r="M150" s="1888">
        <f>L150*30.126/1000</f>
        <v>16940.663202</v>
      </c>
      <c r="N150" s="1888">
        <f>257027+305300</f>
        <v>562327</v>
      </c>
      <c r="O150" s="1952">
        <f>N150*30.126/1000</f>
        <v>16940.663202</v>
      </c>
      <c r="Q150" s="1892"/>
    </row>
    <row r="151" spans="1:17" s="406" customFormat="1" ht="20.25" customHeight="1">
      <c r="A151" s="2189"/>
      <c r="B151" s="2190"/>
      <c r="C151" s="2191" t="s">
        <v>803</v>
      </c>
      <c r="D151" s="2192"/>
      <c r="E151" s="2193"/>
      <c r="F151" s="2193"/>
      <c r="G151" s="2194"/>
      <c r="H151" s="2193">
        <f aca="true" t="shared" si="34" ref="H151:O152">H5+H37+H78+H81+H130+H144+H149</f>
        <v>37607255</v>
      </c>
      <c r="I151" s="2194">
        <f t="shared" si="34"/>
        <v>1132956.1641300002</v>
      </c>
      <c r="J151" s="2195">
        <f t="shared" si="34"/>
        <v>46858026</v>
      </c>
      <c r="K151" s="2196">
        <f t="shared" si="34"/>
        <v>1411644.891276</v>
      </c>
      <c r="L151" s="2192">
        <f t="shared" si="34"/>
        <v>43711440.39255129</v>
      </c>
      <c r="M151" s="2193">
        <f t="shared" si="34"/>
        <v>1316850.853266</v>
      </c>
      <c r="N151" s="2193">
        <f t="shared" si="34"/>
        <v>37852238.40403638</v>
      </c>
      <c r="O151" s="2197">
        <f t="shared" si="34"/>
        <v>1140336.5341600003</v>
      </c>
      <c r="Q151" s="1881"/>
    </row>
    <row r="152" spans="1:17" s="400" customFormat="1" ht="15" customHeight="1">
      <c r="A152" s="1912"/>
      <c r="B152" s="1882"/>
      <c r="C152" s="1933" t="s">
        <v>1322</v>
      </c>
      <c r="D152" s="404"/>
      <c r="E152" s="403"/>
      <c r="F152" s="403"/>
      <c r="G152" s="755"/>
      <c r="H152" s="403">
        <f t="shared" si="34"/>
        <v>35601578</v>
      </c>
      <c r="I152" s="755">
        <f t="shared" si="34"/>
        <v>1072533.1388280003</v>
      </c>
      <c r="J152" s="1504">
        <f t="shared" si="34"/>
        <v>32285866</v>
      </c>
      <c r="K152" s="756">
        <f t="shared" si="34"/>
        <v>972643.9991160001</v>
      </c>
      <c r="L152" s="404">
        <f t="shared" si="34"/>
        <v>34062552.39255129</v>
      </c>
      <c r="M152" s="403">
        <f t="shared" si="34"/>
        <v>1026168.453378</v>
      </c>
      <c r="N152" s="403">
        <f t="shared" si="34"/>
        <v>35849878.40403638</v>
      </c>
      <c r="O152" s="967">
        <f t="shared" si="34"/>
        <v>1080013.4368</v>
      </c>
      <c r="Q152" s="401"/>
    </row>
    <row r="153" spans="1:17" s="400" customFormat="1" ht="15" customHeight="1" thickBot="1">
      <c r="A153" s="1945"/>
      <c r="B153" s="1914"/>
      <c r="C153" s="1934" t="s">
        <v>0</v>
      </c>
      <c r="D153" s="784"/>
      <c r="E153" s="234"/>
      <c r="F153" s="234"/>
      <c r="G153" s="459"/>
      <c r="H153" s="234">
        <f aca="true" t="shared" si="35" ref="H153:O153">H75+H113+H142</f>
        <v>2005677</v>
      </c>
      <c r="I153" s="459">
        <f t="shared" si="35"/>
        <v>60423.025302</v>
      </c>
      <c r="J153" s="1447">
        <f t="shared" si="35"/>
        <v>14572160</v>
      </c>
      <c r="K153" s="1448">
        <f t="shared" si="35"/>
        <v>439000.89216</v>
      </c>
      <c r="L153" s="784">
        <f t="shared" si="35"/>
        <v>9648888</v>
      </c>
      <c r="M153" s="234">
        <f t="shared" si="35"/>
        <v>290682.399888</v>
      </c>
      <c r="N153" s="234">
        <f t="shared" si="35"/>
        <v>2002360</v>
      </c>
      <c r="O153" s="483">
        <f t="shared" si="35"/>
        <v>60323.09736</v>
      </c>
      <c r="Q153" s="401"/>
    </row>
    <row r="154" ht="12.75">
      <c r="K154" s="398"/>
    </row>
    <row r="155" spans="1:15" s="410" customFormat="1" ht="13.5">
      <c r="A155" s="407"/>
      <c r="B155" s="408"/>
      <c r="C155" s="407"/>
      <c r="D155" s="409"/>
      <c r="E155" s="2"/>
      <c r="F155" s="2"/>
      <c r="G155" s="405"/>
      <c r="H155" s="405"/>
      <c r="I155" s="405"/>
      <c r="J155" s="405"/>
      <c r="K155" s="405"/>
      <c r="L155" s="405"/>
      <c r="M155" s="405"/>
      <c r="N155" s="405"/>
      <c r="O155" s="405"/>
    </row>
    <row r="156" spans="1:15" s="410" customFormat="1" ht="13.5">
      <c r="A156" s="407"/>
      <c r="B156" s="408"/>
      <c r="C156" s="407"/>
      <c r="D156" s="409"/>
      <c r="E156" s="2"/>
      <c r="F156" s="2"/>
      <c r="G156" s="405"/>
      <c r="H156" s="405"/>
      <c r="I156" s="405"/>
      <c r="J156" s="405"/>
      <c r="K156" s="405"/>
      <c r="L156" s="405"/>
      <c r="M156" s="405"/>
      <c r="N156" s="405"/>
      <c r="O156" s="405"/>
    </row>
    <row r="157" spans="1:15" s="410" customFormat="1" ht="13.5">
      <c r="A157" s="407"/>
      <c r="B157" s="408"/>
      <c r="C157" s="407"/>
      <c r="D157" s="409"/>
      <c r="E157" s="2"/>
      <c r="F157" s="2"/>
      <c r="G157" s="405"/>
      <c r="H157" s="405"/>
      <c r="I157" s="405"/>
      <c r="J157" s="405"/>
      <c r="K157" s="405"/>
      <c r="L157" s="405"/>
      <c r="M157" s="405"/>
      <c r="N157" s="405"/>
      <c r="O157" s="405"/>
    </row>
    <row r="158" spans="1:15" s="410" customFormat="1" ht="13.5">
      <c r="A158" s="407"/>
      <c r="B158" s="408"/>
      <c r="C158" s="407"/>
      <c r="D158" s="409"/>
      <c r="E158" s="2"/>
      <c r="F158" s="2"/>
      <c r="G158" s="405"/>
      <c r="H158" s="405"/>
      <c r="I158" s="405"/>
      <c r="J158" s="405"/>
      <c r="K158" s="405"/>
      <c r="L158" s="405"/>
      <c r="M158" s="405"/>
      <c r="N158" s="405"/>
      <c r="O158" s="405"/>
    </row>
    <row r="159" spans="1:15" s="410" customFormat="1" ht="13.5">
      <c r="A159" s="407"/>
      <c r="B159" s="408"/>
      <c r="C159" s="407"/>
      <c r="D159" s="409"/>
      <c r="E159" s="2"/>
      <c r="F159" s="2"/>
      <c r="G159" s="405"/>
      <c r="H159" s="405"/>
      <c r="I159" s="405"/>
      <c r="J159" s="405"/>
      <c r="K159" s="405"/>
      <c r="L159" s="405"/>
      <c r="M159" s="405"/>
      <c r="N159" s="405"/>
      <c r="O159" s="405"/>
    </row>
    <row r="160" spans="1:15" ht="17.25" customHeight="1">
      <c r="A160" s="411"/>
      <c r="B160" s="412"/>
      <c r="C160" s="1"/>
      <c r="D160" s="413"/>
      <c r="E160" s="413"/>
      <c r="F160" s="413"/>
      <c r="G160" s="263"/>
      <c r="H160" s="263"/>
      <c r="I160" s="263"/>
      <c r="J160" s="263"/>
      <c r="K160" s="263"/>
      <c r="L160" s="263"/>
      <c r="M160" s="263"/>
      <c r="N160" s="263"/>
      <c r="O160" s="263"/>
    </row>
    <row r="161" spans="1:15" ht="17.25" customHeight="1">
      <c r="A161" s="411"/>
      <c r="B161" s="412"/>
      <c r="C161" s="1"/>
      <c r="D161" s="413"/>
      <c r="E161" s="413"/>
      <c r="F161" s="413"/>
      <c r="G161" s="263"/>
      <c r="H161" s="263"/>
      <c r="I161" s="263"/>
      <c r="J161" s="263"/>
      <c r="K161" s="263"/>
      <c r="L161" s="263"/>
      <c r="M161" s="263"/>
      <c r="N161" s="263"/>
      <c r="O161" s="263"/>
    </row>
    <row r="162" spans="1:15" ht="17.25" customHeight="1">
      <c r="A162" s="411"/>
      <c r="B162" s="412"/>
      <c r="C162" s="1"/>
      <c r="D162" s="413"/>
      <c r="E162" s="413"/>
      <c r="F162" s="413"/>
      <c r="G162" s="263"/>
      <c r="H162" s="263"/>
      <c r="I162" s="263"/>
      <c r="J162" s="263"/>
      <c r="K162" s="263"/>
      <c r="L162" s="263"/>
      <c r="M162" s="263"/>
      <c r="N162" s="263"/>
      <c r="O162" s="263"/>
    </row>
    <row r="164" spans="1:15" s="415" customFormat="1" ht="14.25">
      <c r="A164" s="3"/>
      <c r="B164" s="397"/>
      <c r="C164" s="3"/>
      <c r="D164" s="6"/>
      <c r="E164" s="52"/>
      <c r="F164" s="52"/>
      <c r="G164" s="414"/>
      <c r="H164" s="414"/>
      <c r="I164" s="414"/>
      <c r="J164" s="414"/>
      <c r="K164" s="414"/>
      <c r="L164" s="414"/>
      <c r="M164" s="414"/>
      <c r="N164" s="414"/>
      <c r="O164" s="414"/>
    </row>
    <row r="165" spans="1:15" s="415" customFormat="1" ht="15">
      <c r="A165" s="416"/>
      <c r="B165" s="417"/>
      <c r="C165" s="1"/>
      <c r="D165" s="414"/>
      <c r="E165" s="413"/>
      <c r="F165" s="413"/>
      <c r="G165" s="414"/>
      <c r="H165" s="414"/>
      <c r="I165" s="414"/>
      <c r="J165" s="414"/>
      <c r="K165" s="414"/>
      <c r="L165" s="414"/>
      <c r="M165" s="414"/>
      <c r="N165" s="414"/>
      <c r="O165" s="414"/>
    </row>
    <row r="166" spans="1:15" s="415" customFormat="1" ht="15">
      <c r="A166" s="416"/>
      <c r="B166" s="417"/>
      <c r="C166" s="1"/>
      <c r="D166" s="414"/>
      <c r="E166" s="413"/>
      <c r="F166" s="413"/>
      <c r="G166" s="414"/>
      <c r="H166" s="414"/>
      <c r="I166" s="414"/>
      <c r="J166" s="414"/>
      <c r="K166" s="414"/>
      <c r="L166" s="414"/>
      <c r="M166" s="414"/>
      <c r="N166" s="414"/>
      <c r="O166" s="414"/>
    </row>
    <row r="167" spans="1:15" s="415" customFormat="1" ht="15">
      <c r="A167" s="416"/>
      <c r="B167" s="417"/>
      <c r="C167" s="1"/>
      <c r="D167" s="414"/>
      <c r="E167" s="413"/>
      <c r="F167" s="413"/>
      <c r="G167" s="414"/>
      <c r="H167" s="414"/>
      <c r="I167" s="414"/>
      <c r="J167" s="414"/>
      <c r="K167" s="414"/>
      <c r="L167" s="414"/>
      <c r="M167" s="414"/>
      <c r="N167" s="414"/>
      <c r="O167" s="414"/>
    </row>
    <row r="168" spans="1:15" s="415" customFormat="1" ht="15">
      <c r="A168" s="416"/>
      <c r="B168" s="417"/>
      <c r="C168" s="1"/>
      <c r="D168" s="414"/>
      <c r="E168" s="413"/>
      <c r="F168" s="413"/>
      <c r="G168" s="414"/>
      <c r="H168" s="414"/>
      <c r="I168" s="414"/>
      <c r="J168" s="414"/>
      <c r="K168" s="414"/>
      <c r="L168" s="414"/>
      <c r="M168" s="414"/>
      <c r="N168" s="414"/>
      <c r="O168" s="414"/>
    </row>
    <row r="169" spans="1:15" s="415" customFormat="1" ht="15">
      <c r="A169" s="416"/>
      <c r="B169" s="417"/>
      <c r="C169" s="1"/>
      <c r="D169" s="414"/>
      <c r="E169" s="413"/>
      <c r="F169" s="413"/>
      <c r="G169" s="414"/>
      <c r="H169" s="414"/>
      <c r="I169" s="414"/>
      <c r="J169" s="414"/>
      <c r="K169" s="414"/>
      <c r="L169" s="414"/>
      <c r="M169" s="414"/>
      <c r="N169" s="414"/>
      <c r="O169" s="414"/>
    </row>
    <row r="170" spans="1:15" s="415" customFormat="1" ht="15">
      <c r="A170" s="416"/>
      <c r="B170" s="417"/>
      <c r="C170" s="1"/>
      <c r="D170" s="414"/>
      <c r="E170" s="413"/>
      <c r="F170" s="413"/>
      <c r="G170" s="414"/>
      <c r="H170" s="414"/>
      <c r="I170" s="414"/>
      <c r="J170" s="414"/>
      <c r="K170" s="414"/>
      <c r="L170" s="414"/>
      <c r="M170" s="414"/>
      <c r="N170" s="414"/>
      <c r="O170" s="414"/>
    </row>
    <row r="171" spans="1:15" s="415" customFormat="1" ht="15">
      <c r="A171" s="416"/>
      <c r="B171" s="417"/>
      <c r="C171" s="1"/>
      <c r="D171" s="414"/>
      <c r="E171" s="413"/>
      <c r="F171" s="413"/>
      <c r="G171" s="414"/>
      <c r="H171" s="414"/>
      <c r="I171" s="414"/>
      <c r="J171" s="414"/>
      <c r="K171" s="414"/>
      <c r="L171" s="414"/>
      <c r="M171" s="414"/>
      <c r="N171" s="414"/>
      <c r="O171" s="414"/>
    </row>
    <row r="172" spans="1:15" s="415" customFormat="1" ht="15">
      <c r="A172" s="416"/>
      <c r="B172" s="417"/>
      <c r="C172" s="1"/>
      <c r="D172" s="414"/>
      <c r="E172" s="413"/>
      <c r="F172" s="413"/>
      <c r="G172" s="414"/>
      <c r="H172" s="414"/>
      <c r="I172" s="414"/>
      <c r="J172" s="414"/>
      <c r="K172" s="414"/>
      <c r="L172" s="414"/>
      <c r="M172" s="414"/>
      <c r="N172" s="414"/>
      <c r="O172" s="414"/>
    </row>
    <row r="173" spans="1:15" s="415" customFormat="1" ht="15">
      <c r="A173" s="416"/>
      <c r="B173" s="417"/>
      <c r="C173" s="1"/>
      <c r="D173" s="414"/>
      <c r="E173" s="413"/>
      <c r="F173" s="413"/>
      <c r="G173" s="414"/>
      <c r="H173" s="414"/>
      <c r="I173" s="414"/>
      <c r="J173" s="414"/>
      <c r="K173" s="414"/>
      <c r="L173" s="414"/>
      <c r="M173" s="414"/>
      <c r="N173" s="414"/>
      <c r="O173" s="414"/>
    </row>
    <row r="174" spans="1:15" s="415" customFormat="1" ht="15">
      <c r="A174" s="416"/>
      <c r="B174" s="417"/>
      <c r="C174" s="1"/>
      <c r="D174" s="414"/>
      <c r="E174" s="413"/>
      <c r="F174" s="413"/>
      <c r="G174" s="414"/>
      <c r="H174" s="414"/>
      <c r="I174" s="414"/>
      <c r="J174" s="414"/>
      <c r="K174" s="414"/>
      <c r="L174" s="414"/>
      <c r="M174" s="414"/>
      <c r="N174" s="414"/>
      <c r="O174" s="414"/>
    </row>
    <row r="175" spans="1:15" s="415" customFormat="1" ht="15">
      <c r="A175" s="416"/>
      <c r="B175" s="417"/>
      <c r="C175" s="1"/>
      <c r="D175" s="414"/>
      <c r="E175" s="413"/>
      <c r="F175" s="413"/>
      <c r="G175" s="414"/>
      <c r="H175" s="414"/>
      <c r="I175" s="414"/>
      <c r="J175" s="414"/>
      <c r="K175" s="414"/>
      <c r="L175" s="414"/>
      <c r="M175" s="414"/>
      <c r="N175" s="414"/>
      <c r="O175" s="414"/>
    </row>
    <row r="176" spans="1:15" s="415" customFormat="1" ht="15">
      <c r="A176" s="416"/>
      <c r="B176" s="417"/>
      <c r="C176" s="1"/>
      <c r="D176" s="414"/>
      <c r="E176" s="413"/>
      <c r="F176" s="413"/>
      <c r="G176" s="414"/>
      <c r="H176" s="414"/>
      <c r="I176" s="414"/>
      <c r="J176" s="414"/>
      <c r="K176" s="414"/>
      <c r="L176" s="414"/>
      <c r="M176" s="414"/>
      <c r="N176" s="414"/>
      <c r="O176" s="414"/>
    </row>
    <row r="177" spans="1:15" s="415" customFormat="1" ht="15">
      <c r="A177" s="416"/>
      <c r="B177" s="417"/>
      <c r="C177" s="1"/>
      <c r="D177" s="414"/>
      <c r="E177" s="413"/>
      <c r="F177" s="413"/>
      <c r="G177" s="414"/>
      <c r="H177" s="414"/>
      <c r="I177" s="414"/>
      <c r="J177" s="414"/>
      <c r="K177" s="414"/>
      <c r="L177" s="414"/>
      <c r="M177" s="414"/>
      <c r="N177" s="414"/>
      <c r="O177" s="414"/>
    </row>
    <row r="178" spans="1:15" s="415" customFormat="1" ht="15">
      <c r="A178" s="416"/>
      <c r="B178" s="417"/>
      <c r="C178" s="1"/>
      <c r="D178" s="414"/>
      <c r="E178" s="413"/>
      <c r="F178" s="413"/>
      <c r="G178" s="414"/>
      <c r="H178" s="414"/>
      <c r="I178" s="414"/>
      <c r="J178" s="414"/>
      <c r="K178" s="414"/>
      <c r="L178" s="414"/>
      <c r="M178" s="414"/>
      <c r="N178" s="414"/>
      <c r="O178" s="414"/>
    </row>
    <row r="179" spans="1:15" s="415" customFormat="1" ht="15">
      <c r="A179" s="416"/>
      <c r="B179" s="417"/>
      <c r="C179" s="1"/>
      <c r="D179" s="414"/>
      <c r="E179" s="413"/>
      <c r="F179" s="413"/>
      <c r="G179" s="414"/>
      <c r="H179" s="414"/>
      <c r="I179" s="414"/>
      <c r="J179" s="414"/>
      <c r="K179" s="414"/>
      <c r="L179" s="414"/>
      <c r="M179" s="414"/>
      <c r="N179" s="414"/>
      <c r="O179" s="414"/>
    </row>
    <row r="180" spans="1:15" s="415" customFormat="1" ht="15">
      <c r="A180" s="416"/>
      <c r="B180" s="417"/>
      <c r="C180" s="1"/>
      <c r="D180" s="414"/>
      <c r="E180" s="413"/>
      <c r="F180" s="413"/>
      <c r="G180" s="414"/>
      <c r="H180" s="414"/>
      <c r="I180" s="414"/>
      <c r="J180" s="414"/>
      <c r="K180" s="414"/>
      <c r="L180" s="414"/>
      <c r="M180" s="414"/>
      <c r="N180" s="414"/>
      <c r="O180" s="414"/>
    </row>
  </sheetData>
  <sheetProtection/>
  <mergeCells count="8">
    <mergeCell ref="L3:M3"/>
    <mergeCell ref="N3:O3"/>
    <mergeCell ref="A3:C4"/>
    <mergeCell ref="D3:D4"/>
    <mergeCell ref="E3:E4"/>
    <mergeCell ref="F3:F4"/>
    <mergeCell ref="H3:I3"/>
    <mergeCell ref="J3:K3"/>
  </mergeCells>
  <printOptions horizontalCentered="1"/>
  <pageMargins left="0.43" right="0.7874015748031497" top="1.1811023622047245" bottom="0.93" header="0" footer="0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V23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30" sqref="R30"/>
    </sheetView>
  </sheetViews>
  <sheetFormatPr defaultColWidth="9.140625" defaultRowHeight="12.75"/>
  <cols>
    <col min="1" max="1" width="7.7109375" style="3" customWidth="1"/>
    <col min="2" max="2" width="44.7109375" style="3" customWidth="1"/>
    <col min="3" max="4" width="10.7109375" style="292" hidden="1" customWidth="1"/>
    <col min="5" max="6" width="10.7109375" style="6" customWidth="1"/>
    <col min="7" max="13" width="10.7109375" style="6" hidden="1" customWidth="1"/>
    <col min="14" max="14" width="10.7109375" style="3" hidden="1" customWidth="1"/>
    <col min="15" max="16" width="10.7109375" style="6" hidden="1" customWidth="1"/>
    <col min="17" max="22" width="10.7109375" style="6" customWidth="1"/>
    <col min="23" max="16384" width="9.140625" style="3" customWidth="1"/>
  </cols>
  <sheetData>
    <row r="1" spans="1:18" s="6" customFormat="1" ht="21" hidden="1" thickBot="1" thickTop="1">
      <c r="A1" s="237" t="s">
        <v>1122</v>
      </c>
      <c r="C1" s="276"/>
      <c r="D1" s="276"/>
      <c r="E1" s="275"/>
      <c r="F1" s="275"/>
      <c r="G1" s="275"/>
      <c r="H1" s="275"/>
      <c r="Q1" s="2706"/>
      <c r="R1" s="2707"/>
    </row>
    <row r="2" spans="1:22" s="23" customFormat="1" ht="39.75" customHeight="1">
      <c r="A2" s="2897"/>
      <c r="B2" s="2898"/>
      <c r="C2" s="811" t="s">
        <v>506</v>
      </c>
      <c r="D2" s="2695" t="s">
        <v>507</v>
      </c>
      <c r="E2" s="2890" t="s">
        <v>844</v>
      </c>
      <c r="F2" s="2891"/>
      <c r="G2" s="460" t="s">
        <v>510</v>
      </c>
      <c r="H2" s="496" t="s">
        <v>510</v>
      </c>
      <c r="I2" s="497" t="s">
        <v>87</v>
      </c>
      <c r="J2" s="497" t="s">
        <v>87</v>
      </c>
      <c r="K2" s="2870" t="s">
        <v>509</v>
      </c>
      <c r="L2" s="2870"/>
      <c r="M2" s="2870" t="s">
        <v>508</v>
      </c>
      <c r="N2" s="2870"/>
      <c r="O2" s="498" t="s">
        <v>952</v>
      </c>
      <c r="P2" s="1571" t="s">
        <v>952</v>
      </c>
      <c r="Q2" s="2874" t="s">
        <v>183</v>
      </c>
      <c r="R2" s="2918"/>
      <c r="S2" s="2892" t="s">
        <v>725</v>
      </c>
      <c r="T2" s="2875"/>
      <c r="U2" s="2875" t="s">
        <v>726</v>
      </c>
      <c r="V2" s="2878"/>
    </row>
    <row r="3" spans="1:22" s="24" customFormat="1" ht="15" customHeight="1" thickBot="1">
      <c r="A3" s="2903"/>
      <c r="B3" s="2904"/>
      <c r="C3" s="347" t="s">
        <v>966</v>
      </c>
      <c r="D3" s="2304" t="s">
        <v>966</v>
      </c>
      <c r="E3" s="768" t="s">
        <v>435</v>
      </c>
      <c r="F3" s="307" t="s">
        <v>966</v>
      </c>
      <c r="G3" s="461" t="s">
        <v>435</v>
      </c>
      <c r="H3" s="352" t="s">
        <v>966</v>
      </c>
      <c r="I3" s="499" t="s">
        <v>435</v>
      </c>
      <c r="J3" s="499" t="s">
        <v>966</v>
      </c>
      <c r="K3" s="241" t="s">
        <v>435</v>
      </c>
      <c r="L3" s="241" t="s">
        <v>966</v>
      </c>
      <c r="M3" s="241" t="s">
        <v>435</v>
      </c>
      <c r="N3" s="241" t="s">
        <v>966</v>
      </c>
      <c r="O3" s="500" t="s">
        <v>435</v>
      </c>
      <c r="P3" s="1572" t="s">
        <v>966</v>
      </c>
      <c r="Q3" s="240" t="s">
        <v>435</v>
      </c>
      <c r="R3" s="981" t="s">
        <v>966</v>
      </c>
      <c r="S3" s="797" t="s">
        <v>435</v>
      </c>
      <c r="T3" s="241" t="s">
        <v>966</v>
      </c>
      <c r="U3" s="241" t="s">
        <v>435</v>
      </c>
      <c r="V3" s="796" t="s">
        <v>966</v>
      </c>
    </row>
    <row r="4" spans="1:22" s="30" customFormat="1" ht="19.5" customHeight="1">
      <c r="A4" s="164">
        <v>6</v>
      </c>
      <c r="B4" s="1691" t="s">
        <v>1053</v>
      </c>
      <c r="C4" s="921">
        <f>C5+C15</f>
        <v>7073</v>
      </c>
      <c r="D4" s="2361">
        <f>D5+D15</f>
        <v>4479</v>
      </c>
      <c r="E4" s="850">
        <f>E5+E15</f>
        <v>117172</v>
      </c>
      <c r="F4" s="665">
        <f>F5+F15</f>
        <v>3529.923672</v>
      </c>
      <c r="G4" s="530">
        <f aca="true" t="shared" si="0" ref="G4:N4">G5+G15</f>
        <v>117172</v>
      </c>
      <c r="H4" s="242">
        <f t="shared" si="0"/>
        <v>3529.923672</v>
      </c>
      <c r="I4" s="243">
        <f t="shared" si="0"/>
        <v>117172</v>
      </c>
      <c r="J4" s="243">
        <f t="shared" si="0"/>
        <v>3529.923672</v>
      </c>
      <c r="K4" s="243">
        <f t="shared" si="0"/>
        <v>145701</v>
      </c>
      <c r="L4" s="243">
        <f t="shared" si="0"/>
        <v>4389.388326</v>
      </c>
      <c r="M4" s="243">
        <f t="shared" si="0"/>
        <v>145701</v>
      </c>
      <c r="N4" s="243">
        <f t="shared" si="0"/>
        <v>4389.388326</v>
      </c>
      <c r="O4" s="243">
        <f aca="true" t="shared" si="1" ref="O4:V4">O5+O15</f>
        <v>117172</v>
      </c>
      <c r="P4" s="1548">
        <f t="shared" si="1"/>
        <v>3529.923672</v>
      </c>
      <c r="Q4" s="242">
        <f t="shared" si="1"/>
        <v>117172</v>
      </c>
      <c r="R4" s="763">
        <f t="shared" si="1"/>
        <v>3529.923672</v>
      </c>
      <c r="S4" s="2380">
        <f t="shared" si="1"/>
        <v>117172</v>
      </c>
      <c r="T4" s="243">
        <f t="shared" si="1"/>
        <v>3529.9236720000004</v>
      </c>
      <c r="U4" s="243">
        <f t="shared" si="1"/>
        <v>117172</v>
      </c>
      <c r="V4" s="285">
        <f t="shared" si="1"/>
        <v>3529.9236720000004</v>
      </c>
    </row>
    <row r="5" spans="1:22" s="30" customFormat="1" ht="19.5" customHeight="1">
      <c r="A5" s="165" t="s">
        <v>471</v>
      </c>
      <c r="B5" s="1692" t="s">
        <v>965</v>
      </c>
      <c r="C5" s="922">
        <f>SUM(C6:C14)</f>
        <v>3807</v>
      </c>
      <c r="D5" s="2362">
        <f>SUM(D6:D14)</f>
        <v>3837</v>
      </c>
      <c r="E5" s="770">
        <f>SUM(E6:E14)</f>
        <v>117172</v>
      </c>
      <c r="F5" s="480">
        <f>SUM(F6:F14)</f>
        <v>3529.923672</v>
      </c>
      <c r="G5" s="464">
        <f>SUM(G6:G14)</f>
        <v>117172</v>
      </c>
      <c r="H5" s="245">
        <f aca="true" t="shared" si="2" ref="H5:N5">SUM(H6:H14)</f>
        <v>3529.923672</v>
      </c>
      <c r="I5" s="246">
        <f t="shared" si="2"/>
        <v>117172</v>
      </c>
      <c r="J5" s="246">
        <f t="shared" si="2"/>
        <v>3529.923672</v>
      </c>
      <c r="K5" s="246">
        <f t="shared" si="2"/>
        <v>132382</v>
      </c>
      <c r="L5" s="246">
        <f t="shared" si="2"/>
        <v>3988.140132</v>
      </c>
      <c r="M5" s="246">
        <f t="shared" si="2"/>
        <v>132382</v>
      </c>
      <c r="N5" s="246">
        <f t="shared" si="2"/>
        <v>3988.140132</v>
      </c>
      <c r="O5" s="246">
        <f>SUM(O6:O14)</f>
        <v>117172</v>
      </c>
      <c r="P5" s="1550">
        <f>SUM(P6:P14)</f>
        <v>3529.923672</v>
      </c>
      <c r="Q5" s="245">
        <f>SUM(Q6:Q14)</f>
        <v>117172</v>
      </c>
      <c r="R5" s="764">
        <f>SUM(R6:R14)</f>
        <v>3529.923672</v>
      </c>
      <c r="S5" s="2383">
        <v>117172</v>
      </c>
      <c r="T5" s="246">
        <f>S5*30.126/1000</f>
        <v>3529.9236720000004</v>
      </c>
      <c r="U5" s="246">
        <v>117172</v>
      </c>
      <c r="V5" s="255">
        <f>U5*30.126/1000</f>
        <v>3529.9236720000004</v>
      </c>
    </row>
    <row r="6" spans="1:22" s="6" customFormat="1" ht="15" customHeight="1">
      <c r="A6" s="178"/>
      <c r="B6" s="1693" t="s">
        <v>1054</v>
      </c>
      <c r="C6" s="1228">
        <v>865</v>
      </c>
      <c r="D6" s="2688">
        <v>1088</v>
      </c>
      <c r="E6" s="771">
        <v>38173</v>
      </c>
      <c r="F6" s="185">
        <f>(E6*30.126)/1000</f>
        <v>1149.999798</v>
      </c>
      <c r="G6" s="465">
        <v>38173</v>
      </c>
      <c r="H6" s="353">
        <f>G6*30.126/1000</f>
        <v>1149.999798</v>
      </c>
      <c r="I6" s="258">
        <v>38173</v>
      </c>
      <c r="J6" s="258">
        <f>I6*30.126/1000</f>
        <v>1149.999798</v>
      </c>
      <c r="K6" s="258">
        <v>38173</v>
      </c>
      <c r="L6" s="258">
        <f>K6*30.126/1000</f>
        <v>1149.999798</v>
      </c>
      <c r="M6" s="258">
        <v>38173</v>
      </c>
      <c r="N6" s="258">
        <f>M6*30.126/1000</f>
        <v>1149.999798</v>
      </c>
      <c r="O6" s="258">
        <v>38173</v>
      </c>
      <c r="P6" s="1612">
        <f>O6*30.126/1000</f>
        <v>1149.999798</v>
      </c>
      <c r="Q6" s="984">
        <v>38173</v>
      </c>
      <c r="R6" s="259">
        <f>Q6*30.126/1000</f>
        <v>1149.999798</v>
      </c>
      <c r="S6" s="2289"/>
      <c r="T6" s="258"/>
      <c r="U6" s="258"/>
      <c r="V6" s="302"/>
    </row>
    <row r="7" spans="1:22" s="6" customFormat="1" ht="15" customHeight="1">
      <c r="A7" s="179"/>
      <c r="B7" s="1744" t="s">
        <v>1055</v>
      </c>
      <c r="C7" s="939">
        <v>388</v>
      </c>
      <c r="D7" s="2633">
        <v>398</v>
      </c>
      <c r="E7" s="2413">
        <v>13941</v>
      </c>
      <c r="F7" s="191">
        <f aca="true" t="shared" si="3" ref="F7:F14">(E7*30.126)/1000</f>
        <v>419.986566</v>
      </c>
      <c r="G7" s="532">
        <v>13941</v>
      </c>
      <c r="H7" s="354">
        <f aca="true" t="shared" si="4" ref="H7:H14">G7*30.126/1000</f>
        <v>419.986566</v>
      </c>
      <c r="I7" s="289">
        <v>13941</v>
      </c>
      <c r="J7" s="249">
        <f aca="true" t="shared" si="5" ref="J7:J14">I7*30.126/1000</f>
        <v>419.986566</v>
      </c>
      <c r="K7" s="289">
        <v>13941</v>
      </c>
      <c r="L7" s="249">
        <f aca="true" t="shared" si="6" ref="L7:N14">K7*30.126/1000</f>
        <v>419.986566</v>
      </c>
      <c r="M7" s="289">
        <v>13941</v>
      </c>
      <c r="N7" s="249">
        <f t="shared" si="6"/>
        <v>419.986566</v>
      </c>
      <c r="O7" s="289">
        <v>13941</v>
      </c>
      <c r="P7" s="1553">
        <f aca="true" t="shared" si="7" ref="P7:R14">O7*30.126/1000</f>
        <v>419.986566</v>
      </c>
      <c r="Q7" s="90">
        <v>13941</v>
      </c>
      <c r="R7" s="986">
        <f t="shared" si="7"/>
        <v>419.986566</v>
      </c>
      <c r="S7" s="2658"/>
      <c r="T7" s="249"/>
      <c r="U7" s="289"/>
      <c r="V7" s="304"/>
    </row>
    <row r="8" spans="1:22" s="6" customFormat="1" ht="15" customHeight="1">
      <c r="A8" s="179"/>
      <c r="B8" s="1744" t="s">
        <v>1056</v>
      </c>
      <c r="C8" s="939">
        <v>1785</v>
      </c>
      <c r="D8" s="2633">
        <v>1548</v>
      </c>
      <c r="E8" s="2413">
        <v>38504</v>
      </c>
      <c r="F8" s="191">
        <f t="shared" si="3"/>
        <v>1159.9715039999999</v>
      </c>
      <c r="G8" s="532">
        <v>38504</v>
      </c>
      <c r="H8" s="354">
        <f t="shared" si="4"/>
        <v>1159.9715039999999</v>
      </c>
      <c r="I8" s="289">
        <v>38504</v>
      </c>
      <c r="J8" s="249">
        <f t="shared" si="5"/>
        <v>1159.9715039999999</v>
      </c>
      <c r="K8" s="289">
        <v>50000</v>
      </c>
      <c r="L8" s="249">
        <f t="shared" si="6"/>
        <v>1506.3</v>
      </c>
      <c r="M8" s="289">
        <v>50000</v>
      </c>
      <c r="N8" s="249">
        <f t="shared" si="6"/>
        <v>1506.3</v>
      </c>
      <c r="O8" s="289">
        <v>38504</v>
      </c>
      <c r="P8" s="1553">
        <f t="shared" si="7"/>
        <v>1159.9715039999999</v>
      </c>
      <c r="Q8" s="90">
        <v>38504</v>
      </c>
      <c r="R8" s="986">
        <f t="shared" si="7"/>
        <v>1159.9715039999999</v>
      </c>
      <c r="S8" s="2658"/>
      <c r="T8" s="249"/>
      <c r="U8" s="289"/>
      <c r="V8" s="304"/>
    </row>
    <row r="9" spans="1:22" s="6" customFormat="1" ht="15" customHeight="1" hidden="1">
      <c r="A9" s="179"/>
      <c r="B9" s="1744" t="s">
        <v>564</v>
      </c>
      <c r="C9" s="939">
        <v>76</v>
      </c>
      <c r="D9" s="2633"/>
      <c r="E9" s="2413"/>
      <c r="F9" s="191"/>
      <c r="G9" s="532"/>
      <c r="H9" s="354"/>
      <c r="I9" s="289"/>
      <c r="J9" s="249">
        <f t="shared" si="5"/>
        <v>0</v>
      </c>
      <c r="K9" s="289"/>
      <c r="L9" s="249"/>
      <c r="M9" s="289"/>
      <c r="N9" s="249"/>
      <c r="O9" s="289"/>
      <c r="P9" s="1553">
        <f t="shared" si="7"/>
        <v>0</v>
      </c>
      <c r="Q9" s="90"/>
      <c r="R9" s="986">
        <f t="shared" si="7"/>
        <v>0</v>
      </c>
      <c r="S9" s="2658"/>
      <c r="T9" s="249"/>
      <c r="U9" s="289"/>
      <c r="V9" s="304"/>
    </row>
    <row r="10" spans="1:22" s="6" customFormat="1" ht="15" customHeight="1">
      <c r="A10" s="179"/>
      <c r="B10" s="1744" t="s">
        <v>1057</v>
      </c>
      <c r="C10" s="939"/>
      <c r="D10" s="2633"/>
      <c r="E10" s="2413">
        <v>8630</v>
      </c>
      <c r="F10" s="191">
        <f t="shared" si="3"/>
        <v>259.98738000000003</v>
      </c>
      <c r="G10" s="532">
        <v>8630</v>
      </c>
      <c r="H10" s="354">
        <f t="shared" si="4"/>
        <v>259.98738000000003</v>
      </c>
      <c r="I10" s="289">
        <v>8630</v>
      </c>
      <c r="J10" s="249">
        <f t="shared" si="5"/>
        <v>259.98738000000003</v>
      </c>
      <c r="K10" s="289">
        <v>8630</v>
      </c>
      <c r="L10" s="249">
        <f t="shared" si="6"/>
        <v>259.98738000000003</v>
      </c>
      <c r="M10" s="289">
        <v>8630</v>
      </c>
      <c r="N10" s="249">
        <f t="shared" si="6"/>
        <v>259.98738000000003</v>
      </c>
      <c r="O10" s="289">
        <v>8630</v>
      </c>
      <c r="P10" s="1553">
        <f t="shared" si="7"/>
        <v>259.98738000000003</v>
      </c>
      <c r="Q10" s="90">
        <v>8630</v>
      </c>
      <c r="R10" s="986">
        <f t="shared" si="7"/>
        <v>259.98738000000003</v>
      </c>
      <c r="S10" s="2658"/>
      <c r="T10" s="249"/>
      <c r="U10" s="289"/>
      <c r="V10" s="304"/>
    </row>
    <row r="11" spans="1:22" s="6" customFormat="1" ht="15" customHeight="1">
      <c r="A11" s="179"/>
      <c r="B11" s="1744" t="s">
        <v>1058</v>
      </c>
      <c r="C11" s="939">
        <v>288</v>
      </c>
      <c r="D11" s="2633">
        <v>599</v>
      </c>
      <c r="E11" s="2413">
        <v>11286</v>
      </c>
      <c r="F11" s="191">
        <f t="shared" si="3"/>
        <v>340.00203600000003</v>
      </c>
      <c r="G11" s="532">
        <v>11286</v>
      </c>
      <c r="H11" s="354">
        <f t="shared" si="4"/>
        <v>340.00203600000003</v>
      </c>
      <c r="I11" s="289">
        <v>11286</v>
      </c>
      <c r="J11" s="249">
        <f t="shared" si="5"/>
        <v>340.00203600000003</v>
      </c>
      <c r="K11" s="289">
        <v>15000</v>
      </c>
      <c r="L11" s="249">
        <f t="shared" si="6"/>
        <v>451.89</v>
      </c>
      <c r="M11" s="289">
        <v>15000</v>
      </c>
      <c r="N11" s="249">
        <f t="shared" si="6"/>
        <v>451.89</v>
      </c>
      <c r="O11" s="289">
        <v>11286</v>
      </c>
      <c r="P11" s="1553">
        <f t="shared" si="7"/>
        <v>340.00203600000003</v>
      </c>
      <c r="Q11" s="90">
        <v>11286</v>
      </c>
      <c r="R11" s="986">
        <f t="shared" si="7"/>
        <v>340.00203600000003</v>
      </c>
      <c r="S11" s="2658"/>
      <c r="T11" s="249"/>
      <c r="U11" s="289"/>
      <c r="V11" s="304"/>
    </row>
    <row r="12" spans="1:22" s="6" customFormat="1" ht="15" customHeight="1">
      <c r="A12" s="180"/>
      <c r="B12" s="1745" t="s">
        <v>473</v>
      </c>
      <c r="C12" s="1229">
        <v>401</v>
      </c>
      <c r="D12" s="2696">
        <v>105</v>
      </c>
      <c r="E12" s="2413">
        <v>3319</v>
      </c>
      <c r="F12" s="191">
        <f t="shared" si="3"/>
        <v>99.98819400000001</v>
      </c>
      <c r="G12" s="532">
        <v>3319</v>
      </c>
      <c r="H12" s="354">
        <f t="shared" si="4"/>
        <v>99.98819400000001</v>
      </c>
      <c r="I12" s="289">
        <v>3319</v>
      </c>
      <c r="J12" s="249">
        <f t="shared" si="5"/>
        <v>99.98819400000001</v>
      </c>
      <c r="K12" s="289">
        <v>3319</v>
      </c>
      <c r="L12" s="249">
        <f t="shared" si="6"/>
        <v>99.98819400000001</v>
      </c>
      <c r="M12" s="289">
        <v>3319</v>
      </c>
      <c r="N12" s="249">
        <f t="shared" si="6"/>
        <v>99.98819400000001</v>
      </c>
      <c r="O12" s="289">
        <v>3319</v>
      </c>
      <c r="P12" s="1553">
        <f t="shared" si="7"/>
        <v>99.98819400000001</v>
      </c>
      <c r="Q12" s="90">
        <v>3319</v>
      </c>
      <c r="R12" s="986">
        <f t="shared" si="7"/>
        <v>99.98819400000001</v>
      </c>
      <c r="S12" s="2658"/>
      <c r="T12" s="249"/>
      <c r="U12" s="289"/>
      <c r="V12" s="304"/>
    </row>
    <row r="13" spans="1:22" s="6" customFormat="1" ht="15" customHeight="1" hidden="1">
      <c r="A13" s="180"/>
      <c r="B13" s="1746" t="s">
        <v>1059</v>
      </c>
      <c r="C13" s="1230"/>
      <c r="D13" s="2697"/>
      <c r="E13" s="2701"/>
      <c r="F13" s="2702">
        <f t="shared" si="3"/>
        <v>0</v>
      </c>
      <c r="G13" s="2699"/>
      <c r="H13" s="354"/>
      <c r="I13" s="289"/>
      <c r="J13" s="249">
        <f t="shared" si="5"/>
        <v>0</v>
      </c>
      <c r="K13" s="289"/>
      <c r="L13" s="249"/>
      <c r="M13" s="289"/>
      <c r="N13" s="249"/>
      <c r="O13" s="289"/>
      <c r="P13" s="1553">
        <f t="shared" si="7"/>
        <v>0</v>
      </c>
      <c r="Q13" s="90"/>
      <c r="R13" s="986">
        <f t="shared" si="7"/>
        <v>0</v>
      </c>
      <c r="S13" s="2658"/>
      <c r="T13" s="249"/>
      <c r="U13" s="289"/>
      <c r="V13" s="304"/>
    </row>
    <row r="14" spans="1:22" s="6" customFormat="1" ht="15" customHeight="1" thickBot="1">
      <c r="A14" s="590"/>
      <c r="B14" s="1747" t="s">
        <v>1060</v>
      </c>
      <c r="C14" s="1231">
        <v>4</v>
      </c>
      <c r="D14" s="2698">
        <v>99</v>
      </c>
      <c r="E14" s="2703">
        <v>3319</v>
      </c>
      <c r="F14" s="2704">
        <f t="shared" si="3"/>
        <v>99.98819400000001</v>
      </c>
      <c r="G14" s="2700">
        <v>3319</v>
      </c>
      <c r="H14" s="526">
        <f t="shared" si="4"/>
        <v>99.98819400000001</v>
      </c>
      <c r="I14" s="527">
        <v>3319</v>
      </c>
      <c r="J14" s="280">
        <f t="shared" si="5"/>
        <v>99.98819400000001</v>
      </c>
      <c r="K14" s="527">
        <v>3319</v>
      </c>
      <c r="L14" s="280">
        <f t="shared" si="6"/>
        <v>99.98819400000001</v>
      </c>
      <c r="M14" s="527">
        <v>3319</v>
      </c>
      <c r="N14" s="280">
        <f t="shared" si="6"/>
        <v>99.98819400000001</v>
      </c>
      <c r="O14" s="527">
        <v>3319</v>
      </c>
      <c r="P14" s="1578">
        <f t="shared" si="7"/>
        <v>99.98819400000001</v>
      </c>
      <c r="Q14" s="2708">
        <v>3319</v>
      </c>
      <c r="R14" s="2491">
        <f t="shared" si="7"/>
        <v>99.98819400000001</v>
      </c>
      <c r="S14" s="2705"/>
      <c r="T14" s="280"/>
      <c r="U14" s="527"/>
      <c r="V14" s="528"/>
    </row>
    <row r="15" spans="1:22" s="30" customFormat="1" ht="19.5" customHeight="1" hidden="1">
      <c r="A15" s="587" t="s">
        <v>472</v>
      </c>
      <c r="B15" s="588" t="s">
        <v>967</v>
      </c>
      <c r="C15" s="305">
        <f>SUM(C16:C22)</f>
        <v>3266</v>
      </c>
      <c r="D15" s="306">
        <f>SUM(D16:D22)</f>
        <v>642</v>
      </c>
      <c r="E15" s="62">
        <f>SUM(E16:E22)</f>
        <v>0</v>
      </c>
      <c r="F15" s="63">
        <f>SUM(F16:F22)</f>
        <v>0</v>
      </c>
      <c r="G15" s="589">
        <f>SUM(G16:G22)</f>
        <v>0</v>
      </c>
      <c r="H15" s="589">
        <f aca="true" t="shared" si="8" ref="H15:N15">SUM(H16:H22)</f>
        <v>0</v>
      </c>
      <c r="I15" s="589">
        <f t="shared" si="8"/>
        <v>0</v>
      </c>
      <c r="J15" s="589">
        <f t="shared" si="8"/>
        <v>0</v>
      </c>
      <c r="K15" s="589">
        <f t="shared" si="8"/>
        <v>13319</v>
      </c>
      <c r="L15" s="589">
        <f t="shared" si="8"/>
        <v>401.248194</v>
      </c>
      <c r="M15" s="589">
        <f t="shared" si="8"/>
        <v>13319</v>
      </c>
      <c r="N15" s="589">
        <f t="shared" si="8"/>
        <v>401.248194</v>
      </c>
      <c r="O15" s="589">
        <f>SUM(O16:O22)</f>
        <v>0</v>
      </c>
      <c r="P15" s="589">
        <f>SUM(P16:P22)</f>
        <v>0</v>
      </c>
      <c r="Q15" s="589"/>
      <c r="R15" s="589">
        <f>SUM(R16:R22)</f>
        <v>0</v>
      </c>
      <c r="S15" s="589"/>
      <c r="T15" s="589"/>
      <c r="U15" s="589"/>
      <c r="V15" s="589"/>
    </row>
    <row r="16" spans="1:22" s="6" customFormat="1" ht="15" customHeight="1" hidden="1">
      <c r="A16" s="178"/>
      <c r="B16" s="53" t="s">
        <v>1054</v>
      </c>
      <c r="C16" s="267">
        <v>66</v>
      </c>
      <c r="D16" s="296">
        <v>98</v>
      </c>
      <c r="E16" s="58"/>
      <c r="F16" s="57"/>
      <c r="G16" s="47"/>
      <c r="H16" s="260"/>
      <c r="I16" s="287"/>
      <c r="J16" s="258"/>
      <c r="K16" s="258"/>
      <c r="L16" s="259"/>
      <c r="M16" s="287"/>
      <c r="N16" s="286"/>
      <c r="O16" s="287"/>
      <c r="P16" s="258"/>
      <c r="Q16" s="258"/>
      <c r="R16" s="258"/>
      <c r="S16" s="258"/>
      <c r="T16" s="258"/>
      <c r="U16" s="258"/>
      <c r="V16" s="258"/>
    </row>
    <row r="17" spans="1:22" s="6" customFormat="1" ht="15" customHeight="1" hidden="1">
      <c r="A17" s="293"/>
      <c r="B17" s="281" t="s">
        <v>567</v>
      </c>
      <c r="C17" s="298"/>
      <c r="D17" s="299">
        <v>544</v>
      </c>
      <c r="E17" s="282"/>
      <c r="F17" s="283"/>
      <c r="G17" s="32"/>
      <c r="H17" s="252"/>
      <c r="I17" s="294"/>
      <c r="J17" s="247"/>
      <c r="K17" s="247">
        <v>3319</v>
      </c>
      <c r="L17" s="248">
        <f>K17*30.126/1000</f>
        <v>99.98819400000001</v>
      </c>
      <c r="M17" s="294">
        <v>3319</v>
      </c>
      <c r="N17" s="248">
        <f>M17*30.126/1000</f>
        <v>99.98819400000001</v>
      </c>
      <c r="O17" s="294"/>
      <c r="P17" s="247"/>
      <c r="Q17" s="247"/>
      <c r="R17" s="247"/>
      <c r="S17" s="247"/>
      <c r="T17" s="247"/>
      <c r="U17" s="247"/>
      <c r="V17" s="247"/>
    </row>
    <row r="18" spans="1:22" s="6" customFormat="1" ht="15" customHeight="1" hidden="1">
      <c r="A18" s="293"/>
      <c r="B18" s="281" t="s">
        <v>565</v>
      </c>
      <c r="C18" s="298">
        <v>1950</v>
      </c>
      <c r="D18" s="299"/>
      <c r="E18" s="282"/>
      <c r="F18" s="283"/>
      <c r="G18" s="32"/>
      <c r="H18" s="252"/>
      <c r="I18" s="294"/>
      <c r="J18" s="247"/>
      <c r="K18" s="247"/>
      <c r="L18" s="248"/>
      <c r="M18" s="294"/>
      <c r="N18" s="248"/>
      <c r="O18" s="294"/>
      <c r="P18" s="247"/>
      <c r="Q18" s="247"/>
      <c r="R18" s="247"/>
      <c r="S18" s="247"/>
      <c r="T18" s="247"/>
      <c r="U18" s="247"/>
      <c r="V18" s="247"/>
    </row>
    <row r="19" spans="1:22" s="6" customFormat="1" ht="15" customHeight="1" hidden="1">
      <c r="A19" s="293"/>
      <c r="B19" s="281" t="s">
        <v>566</v>
      </c>
      <c r="C19" s="298">
        <v>50</v>
      </c>
      <c r="D19" s="299"/>
      <c r="E19" s="282"/>
      <c r="F19" s="283"/>
      <c r="G19" s="32"/>
      <c r="H19" s="252"/>
      <c r="I19" s="294"/>
      <c r="J19" s="247"/>
      <c r="K19" s="247"/>
      <c r="L19" s="248"/>
      <c r="M19" s="294"/>
      <c r="N19" s="248"/>
      <c r="O19" s="294"/>
      <c r="P19" s="247"/>
      <c r="Q19" s="247"/>
      <c r="R19" s="247"/>
      <c r="S19" s="247"/>
      <c r="T19" s="247"/>
      <c r="U19" s="247"/>
      <c r="V19" s="247"/>
    </row>
    <row r="20" spans="1:22" s="6" customFormat="1" ht="15" customHeight="1" hidden="1">
      <c r="A20" s="293"/>
      <c r="B20" s="281" t="s">
        <v>564</v>
      </c>
      <c r="C20" s="298">
        <v>1200</v>
      </c>
      <c r="D20" s="299"/>
      <c r="E20" s="282"/>
      <c r="F20" s="283"/>
      <c r="G20" s="32"/>
      <c r="H20" s="252"/>
      <c r="I20" s="294"/>
      <c r="J20" s="247"/>
      <c r="K20" s="247"/>
      <c r="L20" s="248"/>
      <c r="M20" s="294"/>
      <c r="N20" s="248"/>
      <c r="O20" s="294"/>
      <c r="P20" s="247"/>
      <c r="Q20" s="247"/>
      <c r="R20" s="247"/>
      <c r="S20" s="247"/>
      <c r="T20" s="247"/>
      <c r="U20" s="247"/>
      <c r="V20" s="247"/>
    </row>
    <row r="21" spans="1:22" s="6" customFormat="1" ht="15" customHeight="1" hidden="1">
      <c r="A21" s="179"/>
      <c r="B21" s="54" t="s">
        <v>1061</v>
      </c>
      <c r="C21" s="268"/>
      <c r="D21" s="297"/>
      <c r="E21" s="56"/>
      <c r="F21" s="55"/>
      <c r="G21" s="9"/>
      <c r="H21" s="253"/>
      <c r="I21" s="90"/>
      <c r="J21" s="249"/>
      <c r="K21" s="249"/>
      <c r="L21" s="248"/>
      <c r="M21" s="90"/>
      <c r="N21" s="248"/>
      <c r="O21" s="90"/>
      <c r="P21" s="249"/>
      <c r="Q21" s="249"/>
      <c r="R21" s="249"/>
      <c r="S21" s="249"/>
      <c r="T21" s="249"/>
      <c r="U21" s="249"/>
      <c r="V21" s="249"/>
    </row>
    <row r="22" spans="1:22" s="6" customFormat="1" ht="15" customHeight="1" hidden="1" thickBot="1">
      <c r="A22" s="181"/>
      <c r="B22" s="125" t="s">
        <v>1062</v>
      </c>
      <c r="C22" s="300"/>
      <c r="D22" s="301"/>
      <c r="E22" s="59"/>
      <c r="F22" s="60"/>
      <c r="G22" s="106"/>
      <c r="H22" s="290"/>
      <c r="I22" s="288"/>
      <c r="J22" s="280"/>
      <c r="K22" s="280">
        <v>10000</v>
      </c>
      <c r="L22" s="248">
        <f>K22*30.126/1000</f>
        <v>301.26</v>
      </c>
      <c r="M22" s="288">
        <v>10000</v>
      </c>
      <c r="N22" s="248">
        <f>M22*30.126/1000</f>
        <v>301.26</v>
      </c>
      <c r="O22" s="288"/>
      <c r="P22" s="280"/>
      <c r="Q22" s="280"/>
      <c r="R22" s="280"/>
      <c r="S22" s="280"/>
      <c r="T22" s="280"/>
      <c r="U22" s="280"/>
      <c r="V22" s="280"/>
    </row>
    <row r="23" spans="3:4" s="6" customFormat="1" ht="15.75" customHeight="1">
      <c r="C23" s="276"/>
      <c r="D23" s="276"/>
    </row>
    <row r="24" ht="15" customHeight="1"/>
  </sheetData>
  <sheetProtection/>
  <mergeCells count="7">
    <mergeCell ref="Q2:R2"/>
    <mergeCell ref="U2:V2"/>
    <mergeCell ref="M2:N2"/>
    <mergeCell ref="A2:B3"/>
    <mergeCell ref="K2:L2"/>
    <mergeCell ref="E2:F2"/>
    <mergeCell ref="S2:T2"/>
  </mergeCells>
  <printOptions horizontalCentered="1"/>
  <pageMargins left="0" right="0.7874015748031497" top="1.1811023622047245" bottom="0.1968503937007874" header="0" footer="0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V67"/>
  <sheetViews>
    <sheetView showGridLines="0" zoomScalePageLayoutView="0" workbookViewId="0" topLeftCell="A1">
      <pane xSplit="2" ySplit="3" topLeftCell="E5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48" sqref="R48"/>
    </sheetView>
  </sheetViews>
  <sheetFormatPr defaultColWidth="9.140625" defaultRowHeight="12.75"/>
  <cols>
    <col min="1" max="1" width="7.7109375" style="12" customWidth="1"/>
    <col min="2" max="2" width="52.57421875" style="3" customWidth="1"/>
    <col min="3" max="4" width="10.7109375" style="3" hidden="1" customWidth="1"/>
    <col min="5" max="6" width="10.7109375" style="6" customWidth="1"/>
    <col min="7" max="13" width="10.7109375" style="6" hidden="1" customWidth="1"/>
    <col min="14" max="14" width="10.7109375" style="3" hidden="1" customWidth="1"/>
    <col min="15" max="16" width="10.7109375" style="6" hidden="1" customWidth="1"/>
    <col min="17" max="22" width="10.7109375" style="6" customWidth="1"/>
    <col min="23" max="16384" width="9.140625" style="3" customWidth="1"/>
  </cols>
  <sheetData>
    <row r="1" spans="1:18" ht="21" hidden="1" thickBot="1" thickTop="1">
      <c r="A1" s="237" t="s">
        <v>1122</v>
      </c>
      <c r="Q1" s="2393"/>
      <c r="R1" s="2394"/>
    </row>
    <row r="2" spans="1:22" s="23" customFormat="1" ht="39.75" customHeight="1">
      <c r="A2" s="2842"/>
      <c r="B2" s="2929"/>
      <c r="C2" s="798" t="s">
        <v>506</v>
      </c>
      <c r="D2" s="1519" t="s">
        <v>507</v>
      </c>
      <c r="E2" s="2890" t="s">
        <v>1182</v>
      </c>
      <c r="F2" s="2891"/>
      <c r="G2" s="460" t="s">
        <v>510</v>
      </c>
      <c r="H2" s="496" t="s">
        <v>510</v>
      </c>
      <c r="I2" s="497" t="s">
        <v>87</v>
      </c>
      <c r="J2" s="497" t="s">
        <v>87</v>
      </c>
      <c r="K2" s="2870" t="s">
        <v>509</v>
      </c>
      <c r="L2" s="2870"/>
      <c r="M2" s="2870" t="s">
        <v>508</v>
      </c>
      <c r="N2" s="2870"/>
      <c r="O2" s="498" t="s">
        <v>952</v>
      </c>
      <c r="P2" s="1571" t="s">
        <v>952</v>
      </c>
      <c r="Q2" s="2876" t="s">
        <v>183</v>
      </c>
      <c r="R2" s="2924"/>
      <c r="S2" s="2880" t="s">
        <v>725</v>
      </c>
      <c r="T2" s="2877"/>
      <c r="U2" s="2877" t="s">
        <v>726</v>
      </c>
      <c r="V2" s="2879"/>
    </row>
    <row r="3" spans="1:22" s="24" customFormat="1" ht="15" customHeight="1" thickBot="1">
      <c r="A3" s="2930"/>
      <c r="B3" s="2931"/>
      <c r="C3" s="777" t="s">
        <v>966</v>
      </c>
      <c r="D3" s="453" t="s">
        <v>966</v>
      </c>
      <c r="E3" s="768" t="s">
        <v>435</v>
      </c>
      <c r="F3" s="307" t="s">
        <v>966</v>
      </c>
      <c r="G3" s="461" t="s">
        <v>435</v>
      </c>
      <c r="H3" s="352" t="s">
        <v>966</v>
      </c>
      <c r="I3" s="499" t="s">
        <v>435</v>
      </c>
      <c r="J3" s="499" t="s">
        <v>966</v>
      </c>
      <c r="K3" s="241" t="s">
        <v>435</v>
      </c>
      <c r="L3" s="241" t="s">
        <v>966</v>
      </c>
      <c r="M3" s="241" t="s">
        <v>435</v>
      </c>
      <c r="N3" s="241" t="s">
        <v>966</v>
      </c>
      <c r="O3" s="500" t="s">
        <v>435</v>
      </c>
      <c r="P3" s="1572" t="s">
        <v>966</v>
      </c>
      <c r="Q3" s="238" t="s">
        <v>435</v>
      </c>
      <c r="R3" s="993" t="s">
        <v>966</v>
      </c>
      <c r="S3" s="2117" t="s">
        <v>435</v>
      </c>
      <c r="T3" s="239" t="s">
        <v>966</v>
      </c>
      <c r="U3" s="239" t="s">
        <v>435</v>
      </c>
      <c r="V3" s="307" t="s">
        <v>966</v>
      </c>
    </row>
    <row r="4" spans="1:22" s="23" customFormat="1" ht="19.5" customHeight="1">
      <c r="A4" s="110" t="s">
        <v>351</v>
      </c>
      <c r="B4" s="1691" t="s">
        <v>118</v>
      </c>
      <c r="C4" s="921">
        <f aca="true" t="shared" si="0" ref="C4:V4">C5+C16+C38</f>
        <v>23902</v>
      </c>
      <c r="D4" s="2361">
        <f t="shared" si="0"/>
        <v>27123</v>
      </c>
      <c r="E4" s="850">
        <f t="shared" si="0"/>
        <v>1263661</v>
      </c>
      <c r="F4" s="665">
        <f t="shared" si="0"/>
        <v>38069.44762</v>
      </c>
      <c r="G4" s="530">
        <f t="shared" si="0"/>
        <v>1024101</v>
      </c>
      <c r="H4" s="242">
        <f t="shared" si="0"/>
        <v>30852.066726</v>
      </c>
      <c r="I4" s="243">
        <f t="shared" si="0"/>
        <v>977221</v>
      </c>
      <c r="J4" s="243">
        <f t="shared" si="0"/>
        <v>29439.759846</v>
      </c>
      <c r="K4" s="243">
        <f t="shared" si="0"/>
        <v>1016730</v>
      </c>
      <c r="L4" s="243">
        <f t="shared" si="0"/>
        <v>30630.00798</v>
      </c>
      <c r="M4" s="243">
        <f t="shared" si="0"/>
        <v>974430</v>
      </c>
      <c r="N4" s="243">
        <f t="shared" si="0"/>
        <v>29355.67818</v>
      </c>
      <c r="O4" s="243">
        <f t="shared" si="0"/>
        <v>977221</v>
      </c>
      <c r="P4" s="1548">
        <f t="shared" si="0"/>
        <v>29439.759846</v>
      </c>
      <c r="Q4" s="107">
        <f t="shared" si="0"/>
        <v>998946</v>
      </c>
      <c r="R4" s="108">
        <f t="shared" si="0"/>
        <v>30094.247195999997</v>
      </c>
      <c r="S4" s="778">
        <f t="shared" si="0"/>
        <v>998946</v>
      </c>
      <c r="T4" s="109">
        <f t="shared" si="0"/>
        <v>30094.247196000004</v>
      </c>
      <c r="U4" s="109">
        <f t="shared" si="0"/>
        <v>998946</v>
      </c>
      <c r="V4" s="665">
        <f t="shared" si="0"/>
        <v>30094.247196000004</v>
      </c>
    </row>
    <row r="5" spans="1:22" s="30" customFormat="1" ht="19.5" customHeight="1">
      <c r="A5" s="111" t="s">
        <v>745</v>
      </c>
      <c r="B5" s="1748" t="s">
        <v>142</v>
      </c>
      <c r="C5" s="1236">
        <f>C6</f>
        <v>19840</v>
      </c>
      <c r="D5" s="2687">
        <f>D6</f>
        <v>21197</v>
      </c>
      <c r="E5" s="769">
        <f>E6</f>
        <v>918440</v>
      </c>
      <c r="F5" s="479">
        <f>F6</f>
        <v>27668.92344</v>
      </c>
      <c r="G5" s="463">
        <f aca="true" t="shared" si="1" ref="G5:V5">G6</f>
        <v>787880</v>
      </c>
      <c r="H5" s="508">
        <f t="shared" si="1"/>
        <v>23735.672880000002</v>
      </c>
      <c r="I5" s="244">
        <f t="shared" si="1"/>
        <v>754685</v>
      </c>
      <c r="J5" s="244">
        <f t="shared" si="1"/>
        <v>22735.64031</v>
      </c>
      <c r="K5" s="244">
        <f t="shared" si="1"/>
        <v>791909</v>
      </c>
      <c r="L5" s="244">
        <f t="shared" si="1"/>
        <v>23857.050534</v>
      </c>
      <c r="M5" s="244">
        <f t="shared" si="1"/>
        <v>791909</v>
      </c>
      <c r="N5" s="244">
        <f t="shared" si="1"/>
        <v>23857.050534</v>
      </c>
      <c r="O5" s="244">
        <f t="shared" si="1"/>
        <v>754685</v>
      </c>
      <c r="P5" s="1549">
        <f t="shared" si="1"/>
        <v>22735.64031</v>
      </c>
      <c r="Q5" s="19">
        <f t="shared" si="1"/>
        <v>774435</v>
      </c>
      <c r="R5" s="17">
        <f t="shared" si="1"/>
        <v>23330.62881</v>
      </c>
      <c r="S5" s="779">
        <f t="shared" si="1"/>
        <v>774435</v>
      </c>
      <c r="T5" s="28">
        <f t="shared" si="1"/>
        <v>23330.628810000002</v>
      </c>
      <c r="U5" s="28">
        <f t="shared" si="1"/>
        <v>774435</v>
      </c>
      <c r="V5" s="479">
        <f t="shared" si="1"/>
        <v>23330.628810000002</v>
      </c>
    </row>
    <row r="6" spans="1:22" s="30" customFormat="1" ht="19.5" customHeight="1">
      <c r="A6" s="112" t="s">
        <v>474</v>
      </c>
      <c r="B6" s="1692" t="s">
        <v>965</v>
      </c>
      <c r="C6" s="922">
        <f>C7+C10+C13+C14+C15</f>
        <v>19840</v>
      </c>
      <c r="D6" s="2362">
        <f aca="true" t="shared" si="2" ref="D6:N6">D7+D10+D13+D14+D15</f>
        <v>21197</v>
      </c>
      <c r="E6" s="2369">
        <f t="shared" si="2"/>
        <v>918440</v>
      </c>
      <c r="F6" s="1248">
        <f t="shared" si="2"/>
        <v>27668.92344</v>
      </c>
      <c r="G6" s="595">
        <f t="shared" si="2"/>
        <v>787880</v>
      </c>
      <c r="H6" s="600">
        <f t="shared" si="2"/>
        <v>23735.672880000002</v>
      </c>
      <c r="I6" s="601">
        <f t="shared" si="2"/>
        <v>754685</v>
      </c>
      <c r="J6" s="601">
        <f t="shared" si="2"/>
        <v>22735.64031</v>
      </c>
      <c r="K6" s="601">
        <f t="shared" si="2"/>
        <v>791909</v>
      </c>
      <c r="L6" s="601">
        <f t="shared" si="2"/>
        <v>23857.050534</v>
      </c>
      <c r="M6" s="601">
        <f t="shared" si="2"/>
        <v>791909</v>
      </c>
      <c r="N6" s="601">
        <f t="shared" si="2"/>
        <v>23857.050534</v>
      </c>
      <c r="O6" s="601">
        <f>O7+O10+O13+O14+O15</f>
        <v>754685</v>
      </c>
      <c r="P6" s="1613">
        <f>P7+P10+P13+P14+P15</f>
        <v>22735.64031</v>
      </c>
      <c r="Q6" s="591">
        <f>Q7+Q10+Q13+Q14+Q15</f>
        <v>774435</v>
      </c>
      <c r="R6" s="295">
        <f>R7+R10+R13+R14+R15</f>
        <v>23330.62881</v>
      </c>
      <c r="S6" s="922">
        <v>774435</v>
      </c>
      <c r="T6" s="1617">
        <f>S6*30.126/1000</f>
        <v>23330.628810000002</v>
      </c>
      <c r="U6" s="1617">
        <v>774435</v>
      </c>
      <c r="V6" s="1248">
        <f>U6*30.126/1000</f>
        <v>23330.628810000002</v>
      </c>
    </row>
    <row r="7" spans="1:22" s="6" customFormat="1" ht="15" customHeight="1">
      <c r="A7" s="113"/>
      <c r="B7" s="1693" t="s">
        <v>143</v>
      </c>
      <c r="C7" s="1228">
        <f>SUM(C8:C9)</f>
        <v>16001</v>
      </c>
      <c r="D7" s="2688">
        <f>SUM(D8:D9)</f>
        <v>19492</v>
      </c>
      <c r="E7" s="2429">
        <f>SUM(E8:E9)</f>
        <v>881187</v>
      </c>
      <c r="F7" s="694">
        <f>SUM(F8:F9)</f>
        <v>26546.639562</v>
      </c>
      <c r="G7" s="597">
        <f aca="true" t="shared" si="3" ref="G7:N7">SUM(G8:G9)</f>
        <v>756180</v>
      </c>
      <c r="H7" s="582">
        <f t="shared" si="3"/>
        <v>22780.67868</v>
      </c>
      <c r="I7" s="279">
        <f t="shared" si="3"/>
        <v>722985</v>
      </c>
      <c r="J7" s="279">
        <f t="shared" si="3"/>
        <v>21780.646109999998</v>
      </c>
      <c r="K7" s="279">
        <f t="shared" si="3"/>
        <v>756180</v>
      </c>
      <c r="L7" s="279">
        <f t="shared" si="3"/>
        <v>22780.67868</v>
      </c>
      <c r="M7" s="279">
        <f t="shared" si="3"/>
        <v>756180</v>
      </c>
      <c r="N7" s="279">
        <f t="shared" si="3"/>
        <v>22780.67868</v>
      </c>
      <c r="O7" s="279">
        <f>SUM(O8:O9)</f>
        <v>722985</v>
      </c>
      <c r="P7" s="1609">
        <f>SUM(P8:P9)</f>
        <v>21780.646109999998</v>
      </c>
      <c r="Q7" s="1240">
        <f>SUM(Q8:Q9)</f>
        <v>722985</v>
      </c>
      <c r="R7" s="45">
        <f>SUM(R8:R9)</f>
        <v>21780.646109999998</v>
      </c>
      <c r="S7" s="929"/>
      <c r="T7" s="1618"/>
      <c r="U7" s="1618"/>
      <c r="V7" s="694"/>
    </row>
    <row r="8" spans="1:22" s="6" customFormat="1" ht="15" customHeight="1">
      <c r="A8" s="114"/>
      <c r="B8" s="1694" t="s">
        <v>478</v>
      </c>
      <c r="C8" s="803">
        <v>13303</v>
      </c>
      <c r="D8" s="1524">
        <v>15999</v>
      </c>
      <c r="E8" s="772">
        <v>781605</v>
      </c>
      <c r="F8" s="139">
        <f>(E8*30.126)/1000</f>
        <v>23546.63223</v>
      </c>
      <c r="G8" s="446">
        <v>640000</v>
      </c>
      <c r="H8" s="354">
        <f>G8*30.126/1000</f>
        <v>19280.64</v>
      </c>
      <c r="I8" s="249">
        <v>640000</v>
      </c>
      <c r="J8" s="249">
        <f>I8*30.126/1000</f>
        <v>19280.64</v>
      </c>
      <c r="K8" s="249">
        <v>640000</v>
      </c>
      <c r="L8" s="249">
        <f>K8*30.126/1000</f>
        <v>19280.64</v>
      </c>
      <c r="M8" s="249">
        <v>640000</v>
      </c>
      <c r="N8" s="249">
        <f>M8*30.126/1000</f>
        <v>19280.64</v>
      </c>
      <c r="O8" s="249">
        <v>640000</v>
      </c>
      <c r="P8" s="1553">
        <f>O8*30.126/1000</f>
        <v>19280.64</v>
      </c>
      <c r="Q8" s="35">
        <v>640000</v>
      </c>
      <c r="R8" s="8">
        <f>Q8*30.126/1000</f>
        <v>19280.64</v>
      </c>
      <c r="S8" s="782"/>
      <c r="T8" s="9"/>
      <c r="U8" s="9"/>
      <c r="V8" s="139"/>
    </row>
    <row r="9" spans="1:22" s="6" customFormat="1" ht="15" customHeight="1">
      <c r="A9" s="115"/>
      <c r="B9" s="1694" t="s">
        <v>479</v>
      </c>
      <c r="C9" s="803">
        <v>2698</v>
      </c>
      <c r="D9" s="1524">
        <v>3493</v>
      </c>
      <c r="E9" s="772">
        <v>99582</v>
      </c>
      <c r="F9" s="139">
        <f>(E9*30.126)/1000</f>
        <v>3000.007332</v>
      </c>
      <c r="G9" s="446">
        <v>116180</v>
      </c>
      <c r="H9" s="354">
        <f>G9*30.126/1000</f>
        <v>3500.03868</v>
      </c>
      <c r="I9" s="249">
        <v>82985</v>
      </c>
      <c r="J9" s="249">
        <f>I9*30.126/1000</f>
        <v>2500.00611</v>
      </c>
      <c r="K9" s="249">
        <v>116180</v>
      </c>
      <c r="L9" s="249">
        <f>K9*30.126/1000</f>
        <v>3500.03868</v>
      </c>
      <c r="M9" s="249">
        <v>116180</v>
      </c>
      <c r="N9" s="249">
        <f>M9*30.126/1000</f>
        <v>3500.03868</v>
      </c>
      <c r="O9" s="249">
        <v>82985</v>
      </c>
      <c r="P9" s="1553">
        <f>O9*30.126/1000</f>
        <v>2500.00611</v>
      </c>
      <c r="Q9" s="35">
        <v>82985</v>
      </c>
      <c r="R9" s="8">
        <f>Q9*30.126/1000</f>
        <v>2500.00611</v>
      </c>
      <c r="S9" s="782"/>
      <c r="T9" s="9"/>
      <c r="U9" s="9"/>
      <c r="V9" s="139"/>
    </row>
    <row r="10" spans="1:22" s="6" customFormat="1" ht="15" customHeight="1">
      <c r="A10" s="116"/>
      <c r="B10" s="1744" t="s">
        <v>124</v>
      </c>
      <c r="C10" s="939">
        <v>1887</v>
      </c>
      <c r="D10" s="2633">
        <v>1026</v>
      </c>
      <c r="E10" s="772">
        <f>SUM(E11:E12)</f>
        <v>15345</v>
      </c>
      <c r="F10" s="139">
        <f>SUM(F11:F12)</f>
        <v>462.28347</v>
      </c>
      <c r="G10" s="446">
        <f aca="true" t="shared" si="4" ref="G10:N10">SUM(G11:G12)</f>
        <v>9792</v>
      </c>
      <c r="H10" s="354">
        <f t="shared" si="4"/>
        <v>294.99379200000004</v>
      </c>
      <c r="I10" s="249">
        <v>9792</v>
      </c>
      <c r="J10" s="249">
        <f>I10*30.126/1000</f>
        <v>294.99379200000004</v>
      </c>
      <c r="K10" s="249">
        <f t="shared" si="4"/>
        <v>9792</v>
      </c>
      <c r="L10" s="249">
        <f t="shared" si="4"/>
        <v>294.99379200000004</v>
      </c>
      <c r="M10" s="249">
        <f t="shared" si="4"/>
        <v>9792</v>
      </c>
      <c r="N10" s="249">
        <f t="shared" si="4"/>
        <v>294.99379200000004</v>
      </c>
      <c r="O10" s="249">
        <v>9792</v>
      </c>
      <c r="P10" s="1553">
        <f>O10*30.126/1000</f>
        <v>294.99379200000004</v>
      </c>
      <c r="Q10" s="35">
        <f>SUM(Q11:Q12)</f>
        <v>29542</v>
      </c>
      <c r="R10" s="8">
        <f>SUM(R11:R12)</f>
        <v>889.9822920000001</v>
      </c>
      <c r="S10" s="782"/>
      <c r="T10" s="9"/>
      <c r="U10" s="9"/>
      <c r="V10" s="139"/>
    </row>
    <row r="11" spans="1:22" s="6" customFormat="1" ht="15" customHeight="1">
      <c r="A11" s="116"/>
      <c r="B11" s="1694" t="s">
        <v>340</v>
      </c>
      <c r="C11" s="803"/>
      <c r="D11" s="1524"/>
      <c r="E11" s="772">
        <v>2700</v>
      </c>
      <c r="F11" s="139">
        <f>(E11*30.126)/1000</f>
        <v>81.3402</v>
      </c>
      <c r="G11" s="446">
        <v>9792</v>
      </c>
      <c r="H11" s="354">
        <f>G11*30.126/1000</f>
        <v>294.99379200000004</v>
      </c>
      <c r="I11" s="249"/>
      <c r="J11" s="249"/>
      <c r="K11" s="249">
        <v>9792</v>
      </c>
      <c r="L11" s="249">
        <f>K11*30.126/1000</f>
        <v>294.99379200000004</v>
      </c>
      <c r="M11" s="249">
        <v>9792</v>
      </c>
      <c r="N11" s="249">
        <f>M11*30.126/1000</f>
        <v>294.99379200000004</v>
      </c>
      <c r="O11" s="249"/>
      <c r="P11" s="1553"/>
      <c r="Q11" s="35">
        <v>9792</v>
      </c>
      <c r="R11" s="8">
        <f>Q11*30.126/1000</f>
        <v>294.99379200000004</v>
      </c>
      <c r="S11" s="782"/>
      <c r="T11" s="9"/>
      <c r="U11" s="9"/>
      <c r="V11" s="139"/>
    </row>
    <row r="12" spans="1:22" s="11" customFormat="1" ht="15" customHeight="1">
      <c r="A12" s="117"/>
      <c r="B12" s="1695" t="s">
        <v>175</v>
      </c>
      <c r="C12" s="1237"/>
      <c r="D12" s="2530"/>
      <c r="E12" s="1754">
        <v>12645</v>
      </c>
      <c r="F12" s="1116">
        <f>(E12*30.126)/1000</f>
        <v>380.94327000000004</v>
      </c>
      <c r="G12" s="562"/>
      <c r="H12" s="568">
        <f>G12*30.126/1000</f>
        <v>0</v>
      </c>
      <c r="I12" s="250"/>
      <c r="J12" s="250"/>
      <c r="K12" s="250"/>
      <c r="L12" s="250">
        <f>K12*30.126/1000</f>
        <v>0</v>
      </c>
      <c r="M12" s="250"/>
      <c r="N12" s="250">
        <f>M12*30.126/1000</f>
        <v>0</v>
      </c>
      <c r="O12" s="250"/>
      <c r="P12" s="1614"/>
      <c r="Q12" s="1099">
        <v>19750</v>
      </c>
      <c r="R12" s="1113">
        <f>Q12*30.126/1000</f>
        <v>594.9885</v>
      </c>
      <c r="S12" s="2599"/>
      <c r="T12" s="1115"/>
      <c r="U12" s="1115"/>
      <c r="V12" s="1116"/>
    </row>
    <row r="13" spans="1:22" s="6" customFormat="1" ht="15" customHeight="1">
      <c r="A13" s="115"/>
      <c r="B13" s="1744" t="s">
        <v>125</v>
      </c>
      <c r="C13" s="939"/>
      <c r="D13" s="2633">
        <v>256</v>
      </c>
      <c r="E13" s="772">
        <v>11618</v>
      </c>
      <c r="F13" s="139">
        <f>(E13*30.126)/1000</f>
        <v>350.003868</v>
      </c>
      <c r="G13" s="446">
        <v>11618</v>
      </c>
      <c r="H13" s="354">
        <f>G13*30.126/1000</f>
        <v>350.003868</v>
      </c>
      <c r="I13" s="249">
        <v>11618</v>
      </c>
      <c r="J13" s="249">
        <f>I13*30.126/1000</f>
        <v>350.003868</v>
      </c>
      <c r="K13" s="249">
        <v>11618</v>
      </c>
      <c r="L13" s="249">
        <f>K13*30.126/1000</f>
        <v>350.003868</v>
      </c>
      <c r="M13" s="249">
        <v>11618</v>
      </c>
      <c r="N13" s="249">
        <f>M13*30.126/1000</f>
        <v>350.003868</v>
      </c>
      <c r="O13" s="249">
        <v>11618</v>
      </c>
      <c r="P13" s="1553">
        <f>O13*30.126/1000</f>
        <v>350.003868</v>
      </c>
      <c r="Q13" s="35">
        <v>11618</v>
      </c>
      <c r="R13" s="8">
        <f>Q13*30.126/1000</f>
        <v>350.003868</v>
      </c>
      <c r="S13" s="782"/>
      <c r="T13" s="9"/>
      <c r="U13" s="9"/>
      <c r="V13" s="139"/>
    </row>
    <row r="14" spans="1:22" s="6" customFormat="1" ht="15" customHeight="1">
      <c r="A14" s="115"/>
      <c r="B14" s="1744" t="s">
        <v>127</v>
      </c>
      <c r="C14" s="939"/>
      <c r="D14" s="2633">
        <v>100</v>
      </c>
      <c r="E14" s="2371">
        <v>3319</v>
      </c>
      <c r="F14" s="139">
        <f>(E14*30.126)/1000</f>
        <v>99.98819400000001</v>
      </c>
      <c r="G14" s="563">
        <v>3319</v>
      </c>
      <c r="H14" s="569">
        <f>G14*30.126/1000</f>
        <v>99.98819400000001</v>
      </c>
      <c r="I14" s="257">
        <v>3319</v>
      </c>
      <c r="J14" s="249">
        <f>I14*30.126/1000</f>
        <v>99.98819400000001</v>
      </c>
      <c r="K14" s="257">
        <v>3319</v>
      </c>
      <c r="L14" s="257">
        <f>K14*30.126/1000</f>
        <v>99.98819400000001</v>
      </c>
      <c r="M14" s="257">
        <v>3319</v>
      </c>
      <c r="N14" s="249">
        <f>M14*30.126/1000</f>
        <v>99.98819400000001</v>
      </c>
      <c r="O14" s="257">
        <v>3319</v>
      </c>
      <c r="P14" s="1553">
        <f>O14*30.126/1000</f>
        <v>99.98819400000001</v>
      </c>
      <c r="Q14" s="43">
        <v>3319</v>
      </c>
      <c r="R14" s="8">
        <f>Q14*30.126/1000</f>
        <v>99.98819400000001</v>
      </c>
      <c r="S14" s="930"/>
      <c r="T14" s="9"/>
      <c r="U14" s="41"/>
      <c r="V14" s="139"/>
    </row>
    <row r="15" spans="1:22" s="6" customFormat="1" ht="15" customHeight="1">
      <c r="A15" s="118"/>
      <c r="B15" s="1749" t="s">
        <v>131</v>
      </c>
      <c r="C15" s="1238">
        <f>1859+93</f>
        <v>1952</v>
      </c>
      <c r="D15" s="2689">
        <f>85+238</f>
        <v>323</v>
      </c>
      <c r="E15" s="2691">
        <v>6971</v>
      </c>
      <c r="F15" s="139">
        <f>(E15*30.126)/1000</f>
        <v>210.00834600000002</v>
      </c>
      <c r="G15" s="598">
        <v>6971</v>
      </c>
      <c r="H15" s="602">
        <f>G15*30.126/1000</f>
        <v>210.00834600000002</v>
      </c>
      <c r="I15" s="317">
        <v>6971</v>
      </c>
      <c r="J15" s="249">
        <f>I15*30.126/1000</f>
        <v>210.00834600000002</v>
      </c>
      <c r="K15" s="317">
        <v>11000</v>
      </c>
      <c r="L15" s="317">
        <f>K15*30.126/1000</f>
        <v>331.386</v>
      </c>
      <c r="M15" s="317">
        <v>11000</v>
      </c>
      <c r="N15" s="317">
        <f>M15*30.126/1000</f>
        <v>331.386</v>
      </c>
      <c r="O15" s="317">
        <v>6971</v>
      </c>
      <c r="P15" s="1553">
        <f>O15*30.126/1000</f>
        <v>210.00834600000002</v>
      </c>
      <c r="Q15" s="1241">
        <v>6971</v>
      </c>
      <c r="R15" s="8">
        <f>Q15*30.126/1000</f>
        <v>210.00834600000002</v>
      </c>
      <c r="S15" s="2520"/>
      <c r="T15" s="9"/>
      <c r="U15" s="10"/>
      <c r="V15" s="139"/>
    </row>
    <row r="16" spans="1:22" s="30" customFormat="1" ht="19.5" customHeight="1">
      <c r="A16" s="111" t="s">
        <v>746</v>
      </c>
      <c r="B16" s="1748" t="s">
        <v>145</v>
      </c>
      <c r="C16" s="1236">
        <f aca="true" t="shared" si="5" ref="C16:V16">C17+C24</f>
        <v>1027</v>
      </c>
      <c r="D16" s="2687">
        <f t="shared" si="5"/>
        <v>1089</v>
      </c>
      <c r="E16" s="769">
        <f t="shared" si="5"/>
        <v>205143</v>
      </c>
      <c r="F16" s="479">
        <f t="shared" si="5"/>
        <v>6180.534352000001</v>
      </c>
      <c r="G16" s="463">
        <f t="shared" si="5"/>
        <v>112076</v>
      </c>
      <c r="H16" s="508">
        <f t="shared" si="5"/>
        <v>3376.401576</v>
      </c>
      <c r="I16" s="244">
        <f t="shared" si="5"/>
        <v>94076</v>
      </c>
      <c r="J16" s="244">
        <f t="shared" si="5"/>
        <v>2834.133576</v>
      </c>
      <c r="K16" s="244">
        <f t="shared" si="5"/>
        <v>100676</v>
      </c>
      <c r="L16" s="244">
        <f t="shared" si="5"/>
        <v>3032.9651759999997</v>
      </c>
      <c r="M16" s="244">
        <f t="shared" si="5"/>
        <v>58376</v>
      </c>
      <c r="N16" s="244">
        <f t="shared" si="5"/>
        <v>1758.635376</v>
      </c>
      <c r="O16" s="244">
        <f t="shared" si="5"/>
        <v>94076</v>
      </c>
      <c r="P16" s="1549">
        <f t="shared" si="5"/>
        <v>2834.133576</v>
      </c>
      <c r="Q16" s="19">
        <f t="shared" si="5"/>
        <v>96051</v>
      </c>
      <c r="R16" s="17">
        <f t="shared" si="5"/>
        <v>2893.632426</v>
      </c>
      <c r="S16" s="779">
        <f t="shared" si="5"/>
        <v>96051</v>
      </c>
      <c r="T16" s="28">
        <f t="shared" si="5"/>
        <v>2893.632426</v>
      </c>
      <c r="U16" s="28">
        <f t="shared" si="5"/>
        <v>96051</v>
      </c>
      <c r="V16" s="479">
        <f t="shared" si="5"/>
        <v>2893.632426</v>
      </c>
    </row>
    <row r="17" spans="1:22" s="30" customFormat="1" ht="19.5" customHeight="1">
      <c r="A17" s="112" t="s">
        <v>475</v>
      </c>
      <c r="B17" s="1692" t="s">
        <v>965</v>
      </c>
      <c r="C17" s="922">
        <f>SUM(C18:C23)</f>
        <v>687</v>
      </c>
      <c r="D17" s="2362">
        <f>SUM(D18:D23)</f>
        <v>1059</v>
      </c>
      <c r="E17" s="770">
        <f>SUM(E18:E23)</f>
        <v>51369</v>
      </c>
      <c r="F17" s="480">
        <f>SUM(F18:F23)</f>
        <v>1547.5424940000003</v>
      </c>
      <c r="G17" s="464">
        <f>SUM(G18:G23)</f>
        <v>59376</v>
      </c>
      <c r="H17" s="245">
        <f aca="true" t="shared" si="6" ref="H17:N17">SUM(H18:H23)</f>
        <v>1788.7613760000002</v>
      </c>
      <c r="I17" s="246">
        <f t="shared" si="6"/>
        <v>49376</v>
      </c>
      <c r="J17" s="246">
        <f t="shared" si="6"/>
        <v>1487.5013760000002</v>
      </c>
      <c r="K17" s="246">
        <f t="shared" si="6"/>
        <v>58376</v>
      </c>
      <c r="L17" s="246">
        <f t="shared" si="6"/>
        <v>1758.635376</v>
      </c>
      <c r="M17" s="246">
        <f t="shared" si="6"/>
        <v>58376</v>
      </c>
      <c r="N17" s="246">
        <f t="shared" si="6"/>
        <v>1758.635376</v>
      </c>
      <c r="O17" s="246">
        <f>SUM(O18:O23)</f>
        <v>49376</v>
      </c>
      <c r="P17" s="1550">
        <f>SUM(P18:P23)</f>
        <v>1487.5013760000002</v>
      </c>
      <c r="Q17" s="20">
        <f>SUM(Q18:Q23)</f>
        <v>51351</v>
      </c>
      <c r="R17" s="18">
        <f>SUM(R18:R23)</f>
        <v>1547.000226</v>
      </c>
      <c r="S17" s="780">
        <v>51351</v>
      </c>
      <c r="T17" s="29">
        <f>S17*30.126/1000</f>
        <v>1547.000226</v>
      </c>
      <c r="U17" s="29">
        <v>51351</v>
      </c>
      <c r="V17" s="480">
        <f>U17*30.126/1000</f>
        <v>1547.000226</v>
      </c>
    </row>
    <row r="18" spans="1:22" s="6" customFormat="1" ht="15" customHeight="1">
      <c r="A18" s="119"/>
      <c r="B18" s="1750" t="s">
        <v>119</v>
      </c>
      <c r="C18" s="803">
        <v>327</v>
      </c>
      <c r="D18" s="1524">
        <v>514</v>
      </c>
      <c r="E18" s="772">
        <v>14937</v>
      </c>
      <c r="F18" s="139">
        <f>(E18*30.126)/1000</f>
        <v>449.99206200000003</v>
      </c>
      <c r="G18" s="446">
        <v>14937</v>
      </c>
      <c r="H18" s="354">
        <f>G18*30.126/1000</f>
        <v>449.99206200000003</v>
      </c>
      <c r="I18" s="249">
        <v>14937</v>
      </c>
      <c r="J18" s="249">
        <f>I18*30.126/1000</f>
        <v>449.99206200000003</v>
      </c>
      <c r="K18" s="249">
        <v>14937</v>
      </c>
      <c r="L18" s="249">
        <f>K18*30.126/1000</f>
        <v>449.99206200000003</v>
      </c>
      <c r="M18" s="249">
        <v>14937</v>
      </c>
      <c r="N18" s="249">
        <f>M18*30.126/1000</f>
        <v>449.99206200000003</v>
      </c>
      <c r="O18" s="249">
        <v>14937</v>
      </c>
      <c r="P18" s="1553">
        <f>O18*30.126/1000</f>
        <v>449.99206200000003</v>
      </c>
      <c r="Q18" s="35">
        <v>14937</v>
      </c>
      <c r="R18" s="8">
        <f>Q18*30.126/1000</f>
        <v>449.99206200000003</v>
      </c>
      <c r="S18" s="782"/>
      <c r="T18" s="9"/>
      <c r="U18" s="9"/>
      <c r="V18" s="139"/>
    </row>
    <row r="19" spans="1:22" s="6" customFormat="1" ht="15" customHeight="1">
      <c r="A19" s="120"/>
      <c r="B19" s="1750" t="s">
        <v>120</v>
      </c>
      <c r="C19" s="803">
        <v>282</v>
      </c>
      <c r="D19" s="1524">
        <v>467</v>
      </c>
      <c r="E19" s="772">
        <v>25893</v>
      </c>
      <c r="F19" s="139">
        <f>(E19*30.126)/1000</f>
        <v>780.0525180000001</v>
      </c>
      <c r="G19" s="446">
        <v>24000</v>
      </c>
      <c r="H19" s="354">
        <f>G19*30.126/1000</f>
        <v>723.024</v>
      </c>
      <c r="I19" s="249">
        <v>24000</v>
      </c>
      <c r="J19" s="249">
        <f>I19*30.126/1000</f>
        <v>723.024</v>
      </c>
      <c r="K19" s="249">
        <v>23000</v>
      </c>
      <c r="L19" s="249">
        <f>K19*30.126/1000</f>
        <v>692.898</v>
      </c>
      <c r="M19" s="249">
        <v>23000</v>
      </c>
      <c r="N19" s="249">
        <f>M19*30.126/1000</f>
        <v>692.898</v>
      </c>
      <c r="O19" s="249">
        <v>24000</v>
      </c>
      <c r="P19" s="1553">
        <f>O19*30.126/1000</f>
        <v>723.024</v>
      </c>
      <c r="Q19" s="35">
        <v>6000</v>
      </c>
      <c r="R19" s="8">
        <f>Q19*30.126/1000</f>
        <v>180.756</v>
      </c>
      <c r="S19" s="782"/>
      <c r="T19" s="9"/>
      <c r="U19" s="9"/>
      <c r="V19" s="139"/>
    </row>
    <row r="20" spans="1:22" s="6" customFormat="1" ht="15" customHeight="1">
      <c r="A20" s="120"/>
      <c r="B20" s="1750" t="s">
        <v>121</v>
      </c>
      <c r="C20" s="803">
        <v>58</v>
      </c>
      <c r="D20" s="1524">
        <v>55</v>
      </c>
      <c r="E20" s="2371">
        <v>2556</v>
      </c>
      <c r="F20" s="139">
        <f>(E20*30.126)/1000</f>
        <v>77.002056</v>
      </c>
      <c r="G20" s="563">
        <v>2556</v>
      </c>
      <c r="H20" s="354">
        <f>G20*30.126/1000</f>
        <v>77.002056</v>
      </c>
      <c r="I20" s="257">
        <v>2556</v>
      </c>
      <c r="J20" s="249">
        <f>I20*30.126/1000</f>
        <v>77.002056</v>
      </c>
      <c r="K20" s="257">
        <v>2556</v>
      </c>
      <c r="L20" s="249">
        <f>K20*30.126/1000</f>
        <v>77.002056</v>
      </c>
      <c r="M20" s="257">
        <v>2556</v>
      </c>
      <c r="N20" s="249">
        <f>M20*30.126/1000</f>
        <v>77.002056</v>
      </c>
      <c r="O20" s="257">
        <v>2556</v>
      </c>
      <c r="P20" s="1553">
        <f>O20*30.126/1000</f>
        <v>77.002056</v>
      </c>
      <c r="Q20" s="43">
        <v>2556</v>
      </c>
      <c r="R20" s="8">
        <f>Q20*30.126/1000</f>
        <v>77.002056</v>
      </c>
      <c r="S20" s="930"/>
      <c r="T20" s="9"/>
      <c r="U20" s="41"/>
      <c r="V20" s="139"/>
    </row>
    <row r="21" spans="1:22" s="6" customFormat="1" ht="15" customHeight="1">
      <c r="A21" s="121"/>
      <c r="B21" s="1750" t="s">
        <v>122</v>
      </c>
      <c r="C21" s="803">
        <v>20</v>
      </c>
      <c r="D21" s="1524">
        <v>23</v>
      </c>
      <c r="E21" s="2371">
        <v>7883</v>
      </c>
      <c r="F21" s="139">
        <f>(E21*30.126)/1000</f>
        <v>237.483258</v>
      </c>
      <c r="G21" s="563">
        <v>7883</v>
      </c>
      <c r="H21" s="354">
        <f>G21*30.126/1000</f>
        <v>237.483258</v>
      </c>
      <c r="I21" s="257">
        <v>7883</v>
      </c>
      <c r="J21" s="249">
        <f>I21*30.126/1000</f>
        <v>237.483258</v>
      </c>
      <c r="K21" s="257">
        <v>7883</v>
      </c>
      <c r="L21" s="249">
        <f>K21*30.126/1000</f>
        <v>237.483258</v>
      </c>
      <c r="M21" s="257">
        <v>7883</v>
      </c>
      <c r="N21" s="249">
        <f>M21*30.126/1000</f>
        <v>237.483258</v>
      </c>
      <c r="O21" s="257">
        <v>7883</v>
      </c>
      <c r="P21" s="1553">
        <f>O21*30.126/1000</f>
        <v>237.483258</v>
      </c>
      <c r="Q21" s="43">
        <v>7883</v>
      </c>
      <c r="R21" s="8">
        <f>Q21*30.126/1000</f>
        <v>237.483258</v>
      </c>
      <c r="S21" s="930"/>
      <c r="T21" s="9"/>
      <c r="U21" s="41"/>
      <c r="V21" s="139"/>
    </row>
    <row r="22" spans="1:22" s="6" customFormat="1" ht="15" customHeight="1">
      <c r="A22" s="121"/>
      <c r="B22" s="1750" t="s">
        <v>1148</v>
      </c>
      <c r="C22" s="803"/>
      <c r="D22" s="1524"/>
      <c r="E22" s="2371"/>
      <c r="F22" s="139"/>
      <c r="G22" s="563"/>
      <c r="H22" s="354"/>
      <c r="I22" s="257"/>
      <c r="J22" s="249"/>
      <c r="K22" s="257"/>
      <c r="L22" s="249"/>
      <c r="M22" s="257"/>
      <c r="N22" s="249"/>
      <c r="O22" s="257"/>
      <c r="P22" s="1553"/>
      <c r="Q22" s="43">
        <v>19975</v>
      </c>
      <c r="R22" s="8">
        <f>Q22*30.126/1000</f>
        <v>601.76685</v>
      </c>
      <c r="S22" s="930"/>
      <c r="T22" s="9"/>
      <c r="U22" s="41"/>
      <c r="V22" s="139"/>
    </row>
    <row r="23" spans="1:22" s="6" customFormat="1" ht="15" customHeight="1">
      <c r="A23" s="118"/>
      <c r="B23" s="1750" t="s">
        <v>123</v>
      </c>
      <c r="C23" s="803"/>
      <c r="D23" s="1524"/>
      <c r="E23" s="772">
        <v>100</v>
      </c>
      <c r="F23" s="139">
        <f>(E23*30.126)/1000</f>
        <v>3.0126</v>
      </c>
      <c r="G23" s="446">
        <v>10000</v>
      </c>
      <c r="H23" s="354">
        <f>G23*30.126/1000</f>
        <v>301.26</v>
      </c>
      <c r="I23" s="249"/>
      <c r="J23" s="249"/>
      <c r="K23" s="249">
        <v>10000</v>
      </c>
      <c r="L23" s="249">
        <f>K23*30.126/1000</f>
        <v>301.26</v>
      </c>
      <c r="M23" s="249">
        <v>10000</v>
      </c>
      <c r="N23" s="249">
        <f>M23*30.126/1000</f>
        <v>301.26</v>
      </c>
      <c r="O23" s="249"/>
      <c r="P23" s="1553"/>
      <c r="Q23" s="35"/>
      <c r="R23" s="8"/>
      <c r="S23" s="782"/>
      <c r="T23" s="9"/>
      <c r="U23" s="9"/>
      <c r="V23" s="139"/>
    </row>
    <row r="24" spans="1:22" s="30" customFormat="1" ht="19.5" customHeight="1">
      <c r="A24" s="112" t="s">
        <v>476</v>
      </c>
      <c r="B24" s="1692" t="s">
        <v>967</v>
      </c>
      <c r="C24" s="922">
        <f>C25+C30+C31+C35</f>
        <v>340</v>
      </c>
      <c r="D24" s="2362">
        <f>D25+D30+D31+D35</f>
        <v>30</v>
      </c>
      <c r="E24" s="770">
        <f>E25+E31+E35</f>
        <v>153774</v>
      </c>
      <c r="F24" s="480">
        <f>F25+F31+F35</f>
        <v>4632.991858</v>
      </c>
      <c r="G24" s="464">
        <f aca="true" t="shared" si="7" ref="G24:N24">G25+G30+G31+G35</f>
        <v>52700</v>
      </c>
      <c r="H24" s="245">
        <f t="shared" si="7"/>
        <v>1587.6402</v>
      </c>
      <c r="I24" s="246">
        <f t="shared" si="7"/>
        <v>44700</v>
      </c>
      <c r="J24" s="246">
        <f t="shared" si="7"/>
        <v>1346.6322</v>
      </c>
      <c r="K24" s="246">
        <f t="shared" si="7"/>
        <v>42300</v>
      </c>
      <c r="L24" s="246">
        <f t="shared" si="7"/>
        <v>1274.3298</v>
      </c>
      <c r="M24" s="246">
        <f t="shared" si="7"/>
        <v>0</v>
      </c>
      <c r="N24" s="246">
        <f t="shared" si="7"/>
        <v>0</v>
      </c>
      <c r="O24" s="246">
        <f>O25+O30+O31+O35</f>
        <v>44700</v>
      </c>
      <c r="P24" s="1550">
        <f>P25+P30+P31+P35</f>
        <v>1346.6322</v>
      </c>
      <c r="Q24" s="20">
        <f>Q25+Q30+Q31+Q35</f>
        <v>44700</v>
      </c>
      <c r="R24" s="18">
        <f>R25+R30+R31+R35</f>
        <v>1346.6322</v>
      </c>
      <c r="S24" s="780">
        <v>44700</v>
      </c>
      <c r="T24" s="29">
        <f>S24*30.126/1000</f>
        <v>1346.6322</v>
      </c>
      <c r="U24" s="29">
        <v>44700</v>
      </c>
      <c r="V24" s="480">
        <f>U24*30.126/1000</f>
        <v>1346.6322</v>
      </c>
    </row>
    <row r="25" spans="1:22" s="6" customFormat="1" ht="15" customHeight="1">
      <c r="A25" s="113"/>
      <c r="B25" s="1696" t="s">
        <v>132</v>
      </c>
      <c r="C25" s="939">
        <f>SUM(C26:C29)</f>
        <v>263</v>
      </c>
      <c r="D25" s="2633">
        <f>SUM(D26:D29)</f>
        <v>0</v>
      </c>
      <c r="E25" s="2371">
        <f>E29</f>
        <v>3983</v>
      </c>
      <c r="F25" s="227">
        <f>(E25*30.126)/1000</f>
        <v>119.99185800000001</v>
      </c>
      <c r="G25" s="563">
        <f aca="true" t="shared" si="8" ref="G25:N25">SUM(G26:G29)</f>
        <v>8000</v>
      </c>
      <c r="H25" s="569">
        <f t="shared" si="8"/>
        <v>241.008</v>
      </c>
      <c r="I25" s="257">
        <f t="shared" si="8"/>
        <v>0</v>
      </c>
      <c r="J25" s="257">
        <f t="shared" si="8"/>
        <v>0</v>
      </c>
      <c r="K25" s="257">
        <f t="shared" si="8"/>
        <v>8300</v>
      </c>
      <c r="L25" s="257">
        <f t="shared" si="8"/>
        <v>250.0458</v>
      </c>
      <c r="M25" s="257">
        <f t="shared" si="8"/>
        <v>0</v>
      </c>
      <c r="N25" s="257">
        <f t="shared" si="8"/>
        <v>0</v>
      </c>
      <c r="O25" s="257">
        <f>SUM(O26:O29)</f>
        <v>0</v>
      </c>
      <c r="P25" s="1576">
        <f>SUM(P26:P29)</f>
        <v>0</v>
      </c>
      <c r="Q25" s="43"/>
      <c r="R25" s="42"/>
      <c r="S25" s="930"/>
      <c r="T25" s="41"/>
      <c r="U25" s="41"/>
      <c r="V25" s="227"/>
    </row>
    <row r="26" spans="1:22" s="6" customFormat="1" ht="15" customHeight="1" hidden="1">
      <c r="A26" s="116"/>
      <c r="B26" s="1694" t="s">
        <v>571</v>
      </c>
      <c r="C26" s="939">
        <v>117</v>
      </c>
      <c r="D26" s="2633"/>
      <c r="E26" s="2371"/>
      <c r="F26" s="227"/>
      <c r="G26" s="563"/>
      <c r="H26" s="569"/>
      <c r="I26" s="257"/>
      <c r="J26" s="257"/>
      <c r="K26" s="257"/>
      <c r="L26" s="257"/>
      <c r="M26" s="257"/>
      <c r="N26" s="257"/>
      <c r="O26" s="257"/>
      <c r="P26" s="1576"/>
      <c r="Q26" s="43"/>
      <c r="R26" s="42"/>
      <c r="S26" s="930"/>
      <c r="T26" s="41"/>
      <c r="U26" s="41"/>
      <c r="V26" s="227"/>
    </row>
    <row r="27" spans="1:22" s="6" customFormat="1" ht="15" customHeight="1">
      <c r="A27" s="116"/>
      <c r="B27" s="1694" t="s">
        <v>572</v>
      </c>
      <c r="C27" s="939">
        <v>146</v>
      </c>
      <c r="D27" s="2633"/>
      <c r="E27" s="2371"/>
      <c r="F27" s="227"/>
      <c r="G27" s="563">
        <v>8000</v>
      </c>
      <c r="H27" s="569">
        <f>G27*30.126/1000</f>
        <v>241.008</v>
      </c>
      <c r="I27" s="257"/>
      <c r="J27" s="257"/>
      <c r="K27" s="257"/>
      <c r="L27" s="257"/>
      <c r="M27" s="257"/>
      <c r="N27" s="257"/>
      <c r="O27" s="257"/>
      <c r="P27" s="1576"/>
      <c r="Q27" s="43"/>
      <c r="R27" s="42"/>
      <c r="S27" s="930"/>
      <c r="T27" s="41"/>
      <c r="U27" s="41"/>
      <c r="V27" s="227"/>
    </row>
    <row r="28" spans="1:22" s="6" customFormat="1" ht="15" customHeight="1" hidden="1">
      <c r="A28" s="116"/>
      <c r="B28" s="1694" t="s">
        <v>178</v>
      </c>
      <c r="C28" s="939"/>
      <c r="D28" s="2633"/>
      <c r="E28" s="2371"/>
      <c r="F28" s="227"/>
      <c r="G28" s="563"/>
      <c r="H28" s="569"/>
      <c r="I28" s="257"/>
      <c r="J28" s="257"/>
      <c r="K28" s="257">
        <v>8300</v>
      </c>
      <c r="L28" s="257">
        <f>K28*30.126/1000</f>
        <v>250.0458</v>
      </c>
      <c r="M28" s="257"/>
      <c r="N28" s="257"/>
      <c r="O28" s="257"/>
      <c r="P28" s="1576"/>
      <c r="Q28" s="43"/>
      <c r="R28" s="42"/>
      <c r="S28" s="930"/>
      <c r="T28" s="41"/>
      <c r="U28" s="41"/>
      <c r="V28" s="227"/>
    </row>
    <row r="29" spans="1:22" s="6" customFormat="1" ht="15" customHeight="1">
      <c r="A29" s="115"/>
      <c r="B29" s="1694" t="s">
        <v>147</v>
      </c>
      <c r="C29" s="803"/>
      <c r="D29" s="1524"/>
      <c r="E29" s="772">
        <v>3983</v>
      </c>
      <c r="F29" s="227">
        <f>(E29*30.126)/1000</f>
        <v>119.99185800000001</v>
      </c>
      <c r="G29" s="446"/>
      <c r="H29" s="354"/>
      <c r="I29" s="249"/>
      <c r="J29" s="249"/>
      <c r="K29" s="249"/>
      <c r="L29" s="249"/>
      <c r="M29" s="249"/>
      <c r="N29" s="249"/>
      <c r="O29" s="249"/>
      <c r="P29" s="1553"/>
      <c r="Q29" s="35"/>
      <c r="R29" s="8"/>
      <c r="S29" s="782"/>
      <c r="T29" s="9"/>
      <c r="U29" s="9"/>
      <c r="V29" s="139"/>
    </row>
    <row r="30" spans="1:22" s="6" customFormat="1" ht="15" customHeight="1" hidden="1">
      <c r="A30" s="115"/>
      <c r="B30" s="1696" t="s">
        <v>573</v>
      </c>
      <c r="C30" s="803">
        <v>77</v>
      </c>
      <c r="D30" s="1524"/>
      <c r="E30" s="772"/>
      <c r="F30" s="227"/>
      <c r="G30" s="446"/>
      <c r="H30" s="354"/>
      <c r="I30" s="249"/>
      <c r="J30" s="249"/>
      <c r="K30" s="249">
        <v>10000</v>
      </c>
      <c r="L30" s="249">
        <f>K30*30.126/1000</f>
        <v>301.26</v>
      </c>
      <c r="M30" s="249"/>
      <c r="N30" s="249"/>
      <c r="O30" s="249"/>
      <c r="P30" s="1553"/>
      <c r="Q30" s="35"/>
      <c r="R30" s="8"/>
      <c r="S30" s="782"/>
      <c r="T30" s="9"/>
      <c r="U30" s="9"/>
      <c r="V30" s="139"/>
    </row>
    <row r="31" spans="1:22" s="6" customFormat="1" ht="15" customHeight="1">
      <c r="A31" s="115"/>
      <c r="B31" s="1696" t="s">
        <v>141</v>
      </c>
      <c r="C31" s="939">
        <f>SUM(C33:C34)</f>
        <v>0</v>
      </c>
      <c r="D31" s="2633">
        <f aca="true" t="shared" si="9" ref="D31:N31">SUM(D33:D34)</f>
        <v>30</v>
      </c>
      <c r="E31" s="2692">
        <v>149791</v>
      </c>
      <c r="F31" s="1249">
        <v>4513</v>
      </c>
      <c r="G31" s="599">
        <f t="shared" si="9"/>
        <v>38700</v>
      </c>
      <c r="H31" s="603">
        <f t="shared" si="9"/>
        <v>1165.8762</v>
      </c>
      <c r="I31" s="604">
        <f t="shared" si="9"/>
        <v>38700</v>
      </c>
      <c r="J31" s="604">
        <f t="shared" si="9"/>
        <v>1165.8762</v>
      </c>
      <c r="K31" s="604">
        <f t="shared" si="9"/>
        <v>0</v>
      </c>
      <c r="L31" s="604">
        <f t="shared" si="9"/>
        <v>0</v>
      </c>
      <c r="M31" s="604">
        <f t="shared" si="9"/>
        <v>0</v>
      </c>
      <c r="N31" s="604">
        <f t="shared" si="9"/>
        <v>0</v>
      </c>
      <c r="O31" s="604">
        <f>SUM(O33:O34)</f>
        <v>38700</v>
      </c>
      <c r="P31" s="1615">
        <f>SUM(P33:P34)</f>
        <v>1165.8762</v>
      </c>
      <c r="Q31" s="592">
        <f>SUM(Q33:Q34)</f>
        <v>38700</v>
      </c>
      <c r="R31" s="297">
        <f>SUM(R33:R34)</f>
        <v>1165.8762</v>
      </c>
      <c r="S31" s="939"/>
      <c r="T31" s="268"/>
      <c r="U31" s="268"/>
      <c r="V31" s="1249"/>
    </row>
    <row r="32" spans="1:22" s="6" customFormat="1" ht="15" customHeight="1">
      <c r="A32" s="115"/>
      <c r="B32" s="1696" t="s">
        <v>228</v>
      </c>
      <c r="C32" s="939"/>
      <c r="D32" s="2633"/>
      <c r="E32" s="2692">
        <v>100000</v>
      </c>
      <c r="F32" s="1249">
        <v>3013</v>
      </c>
      <c r="G32" s="599"/>
      <c r="H32" s="603"/>
      <c r="I32" s="604"/>
      <c r="J32" s="604"/>
      <c r="K32" s="604"/>
      <c r="L32" s="604"/>
      <c r="M32" s="604"/>
      <c r="N32" s="604"/>
      <c r="O32" s="604"/>
      <c r="P32" s="1615"/>
      <c r="Q32" s="592"/>
      <c r="R32" s="297"/>
      <c r="S32" s="939"/>
      <c r="T32" s="268"/>
      <c r="U32" s="268"/>
      <c r="V32" s="1249"/>
    </row>
    <row r="33" spans="1:22" s="6" customFormat="1" ht="15" customHeight="1">
      <c r="A33" s="115"/>
      <c r="B33" s="1694" t="s">
        <v>146</v>
      </c>
      <c r="C33" s="803"/>
      <c r="D33" s="1524"/>
      <c r="E33" s="772">
        <v>49791</v>
      </c>
      <c r="F33" s="227">
        <f>(E33*30.126)/1000</f>
        <v>1500.003666</v>
      </c>
      <c r="G33" s="446">
        <v>38700</v>
      </c>
      <c r="H33" s="354">
        <f>G33*30.126/1000</f>
        <v>1165.8762</v>
      </c>
      <c r="I33" s="249">
        <v>38700</v>
      </c>
      <c r="J33" s="249">
        <f>I33*30.126/1000</f>
        <v>1165.8762</v>
      </c>
      <c r="K33" s="249"/>
      <c r="L33" s="249"/>
      <c r="M33" s="249"/>
      <c r="N33" s="249"/>
      <c r="O33" s="249">
        <v>38700</v>
      </c>
      <c r="P33" s="1553">
        <f>O33*30.126/1000</f>
        <v>1165.8762</v>
      </c>
      <c r="Q33" s="35">
        <v>38700</v>
      </c>
      <c r="R33" s="8">
        <f>Q33*30.126/1000</f>
        <v>1165.8762</v>
      </c>
      <c r="S33" s="782"/>
      <c r="T33" s="9"/>
      <c r="U33" s="9"/>
      <c r="V33" s="139"/>
    </row>
    <row r="34" spans="1:22" s="6" customFormat="1" ht="15" customHeight="1" hidden="1">
      <c r="A34" s="115"/>
      <c r="B34" s="1694" t="s">
        <v>574</v>
      </c>
      <c r="C34" s="803"/>
      <c r="D34" s="1524">
        <v>30</v>
      </c>
      <c r="E34" s="772"/>
      <c r="F34" s="227"/>
      <c r="G34" s="446"/>
      <c r="H34" s="354"/>
      <c r="I34" s="249"/>
      <c r="J34" s="249"/>
      <c r="K34" s="249"/>
      <c r="L34" s="249"/>
      <c r="M34" s="249"/>
      <c r="N34" s="249"/>
      <c r="O34" s="249"/>
      <c r="P34" s="1553"/>
      <c r="Q34" s="35"/>
      <c r="R34" s="8"/>
      <c r="S34" s="782"/>
      <c r="T34" s="9"/>
      <c r="U34" s="9"/>
      <c r="V34" s="139"/>
    </row>
    <row r="35" spans="1:22" s="6" customFormat="1" ht="15" customHeight="1">
      <c r="A35" s="115"/>
      <c r="B35" s="1696" t="s">
        <v>480</v>
      </c>
      <c r="C35" s="939">
        <f>SUM(C36:C37)</f>
        <v>0</v>
      </c>
      <c r="D35" s="2633">
        <f aca="true" t="shared" si="10" ref="D35:N35">SUM(D36:D37)</f>
        <v>0</v>
      </c>
      <c r="E35" s="2692">
        <f t="shared" si="10"/>
        <v>0</v>
      </c>
      <c r="F35" s="1249">
        <f t="shared" si="10"/>
        <v>0</v>
      </c>
      <c r="G35" s="599">
        <f t="shared" si="10"/>
        <v>6000</v>
      </c>
      <c r="H35" s="603">
        <f t="shared" si="10"/>
        <v>180.756</v>
      </c>
      <c r="I35" s="604">
        <f t="shared" si="10"/>
        <v>6000</v>
      </c>
      <c r="J35" s="604">
        <f t="shared" si="10"/>
        <v>180.756</v>
      </c>
      <c r="K35" s="604">
        <f t="shared" si="10"/>
        <v>24000</v>
      </c>
      <c r="L35" s="604">
        <f t="shared" si="10"/>
        <v>723.024</v>
      </c>
      <c r="M35" s="604">
        <f t="shared" si="10"/>
        <v>0</v>
      </c>
      <c r="N35" s="604">
        <f t="shared" si="10"/>
        <v>0</v>
      </c>
      <c r="O35" s="604">
        <f>SUM(O36:O37)</f>
        <v>6000</v>
      </c>
      <c r="P35" s="1615">
        <f>SUM(P36:P37)</f>
        <v>180.756</v>
      </c>
      <c r="Q35" s="592">
        <f>SUM(Q36:Q37)</f>
        <v>6000</v>
      </c>
      <c r="R35" s="297">
        <f>SUM(R36:R37)</f>
        <v>180.756</v>
      </c>
      <c r="S35" s="939"/>
      <c r="T35" s="268"/>
      <c r="U35" s="268"/>
      <c r="V35" s="1249"/>
    </row>
    <row r="36" spans="1:22" s="6" customFormat="1" ht="15" customHeight="1" hidden="1">
      <c r="A36" s="115"/>
      <c r="B36" s="1694" t="s">
        <v>177</v>
      </c>
      <c r="C36" s="939"/>
      <c r="D36" s="2633"/>
      <c r="E36" s="2371"/>
      <c r="F36" s="227"/>
      <c r="G36" s="563"/>
      <c r="H36" s="569"/>
      <c r="I36" s="257"/>
      <c r="J36" s="257"/>
      <c r="K36" s="257">
        <v>24000</v>
      </c>
      <c r="L36" s="257">
        <f>K36*30.126/1000</f>
        <v>723.024</v>
      </c>
      <c r="M36" s="257"/>
      <c r="N36" s="257"/>
      <c r="O36" s="257"/>
      <c r="P36" s="1576"/>
      <c r="Q36" s="43"/>
      <c r="R36" s="42"/>
      <c r="S36" s="930"/>
      <c r="T36" s="41"/>
      <c r="U36" s="41"/>
      <c r="V36" s="227"/>
    </row>
    <row r="37" spans="1:22" s="6" customFormat="1" ht="15" customHeight="1">
      <c r="A37" s="118"/>
      <c r="B37" s="1694" t="s">
        <v>481</v>
      </c>
      <c r="C37" s="803"/>
      <c r="D37" s="1524"/>
      <c r="E37" s="772"/>
      <c r="F37" s="139"/>
      <c r="G37" s="446">
        <v>6000</v>
      </c>
      <c r="H37" s="354">
        <f>G37*30.126/1000</f>
        <v>180.756</v>
      </c>
      <c r="I37" s="249">
        <v>6000</v>
      </c>
      <c r="J37" s="249">
        <f>I37*30.126/1000</f>
        <v>180.756</v>
      </c>
      <c r="K37" s="249"/>
      <c r="L37" s="249"/>
      <c r="M37" s="249"/>
      <c r="N37" s="249"/>
      <c r="O37" s="249">
        <v>6000</v>
      </c>
      <c r="P37" s="1553">
        <f>O37*30.126/1000</f>
        <v>180.756</v>
      </c>
      <c r="Q37" s="35">
        <v>6000</v>
      </c>
      <c r="R37" s="8">
        <f>Q37*30.126/1000</f>
        <v>180.756</v>
      </c>
      <c r="S37" s="782"/>
      <c r="T37" s="9"/>
      <c r="U37" s="9"/>
      <c r="V37" s="139"/>
    </row>
    <row r="38" spans="1:22" s="30" customFormat="1" ht="19.5" customHeight="1">
      <c r="A38" s="111" t="s">
        <v>747</v>
      </c>
      <c r="B38" s="1748" t="s">
        <v>144</v>
      </c>
      <c r="C38" s="1236">
        <f>C39</f>
        <v>3035</v>
      </c>
      <c r="D38" s="2687">
        <f aca="true" t="shared" si="11" ref="D38:V38">D39</f>
        <v>4837</v>
      </c>
      <c r="E38" s="2693">
        <f t="shared" si="11"/>
        <v>140078</v>
      </c>
      <c r="F38" s="1250">
        <f t="shared" si="11"/>
        <v>4219.989828000001</v>
      </c>
      <c r="G38" s="596">
        <f t="shared" si="11"/>
        <v>124145</v>
      </c>
      <c r="H38" s="605">
        <f t="shared" si="11"/>
        <v>3739.9922699999997</v>
      </c>
      <c r="I38" s="606">
        <f t="shared" si="11"/>
        <v>128460</v>
      </c>
      <c r="J38" s="606">
        <f t="shared" si="11"/>
        <v>3869.98596</v>
      </c>
      <c r="K38" s="606">
        <f t="shared" si="11"/>
        <v>124145</v>
      </c>
      <c r="L38" s="606">
        <f t="shared" si="11"/>
        <v>3739.9922699999997</v>
      </c>
      <c r="M38" s="606">
        <f t="shared" si="11"/>
        <v>124145</v>
      </c>
      <c r="N38" s="606">
        <f t="shared" si="11"/>
        <v>3739.9922699999997</v>
      </c>
      <c r="O38" s="606">
        <f t="shared" si="11"/>
        <v>128460</v>
      </c>
      <c r="P38" s="1616">
        <f t="shared" si="11"/>
        <v>3869.98596</v>
      </c>
      <c r="Q38" s="593">
        <f t="shared" si="11"/>
        <v>128460</v>
      </c>
      <c r="R38" s="315">
        <f t="shared" si="11"/>
        <v>3869.98596</v>
      </c>
      <c r="S38" s="1236">
        <f t="shared" si="11"/>
        <v>128460</v>
      </c>
      <c r="T38" s="1619">
        <f t="shared" si="11"/>
        <v>3869.98596</v>
      </c>
      <c r="U38" s="1619">
        <f t="shared" si="11"/>
        <v>128460</v>
      </c>
      <c r="V38" s="1250">
        <f t="shared" si="11"/>
        <v>3869.98596</v>
      </c>
    </row>
    <row r="39" spans="1:22" s="30" customFormat="1" ht="19.5" customHeight="1">
      <c r="A39" s="112" t="s">
        <v>477</v>
      </c>
      <c r="B39" s="1692" t="s">
        <v>965</v>
      </c>
      <c r="C39" s="922">
        <f>SUM(C40:C43)</f>
        <v>3035</v>
      </c>
      <c r="D39" s="2362">
        <f>SUM(D40:D43)</f>
        <v>4837</v>
      </c>
      <c r="E39" s="770">
        <f>SUM(E40:E43)</f>
        <v>140078</v>
      </c>
      <c r="F39" s="480">
        <f>SUM(F40:F43)</f>
        <v>4219.989828000001</v>
      </c>
      <c r="G39" s="464">
        <f>SUM(G40:G43)</f>
        <v>124145</v>
      </c>
      <c r="H39" s="245">
        <f aca="true" t="shared" si="12" ref="H39:N39">SUM(H40:H43)</f>
        <v>3739.9922699999997</v>
      </c>
      <c r="I39" s="246">
        <f t="shared" si="12"/>
        <v>128460</v>
      </c>
      <c r="J39" s="246">
        <f t="shared" si="12"/>
        <v>3869.98596</v>
      </c>
      <c r="K39" s="246">
        <f t="shared" si="12"/>
        <v>124145</v>
      </c>
      <c r="L39" s="246">
        <f t="shared" si="12"/>
        <v>3739.9922699999997</v>
      </c>
      <c r="M39" s="246">
        <f t="shared" si="12"/>
        <v>124145</v>
      </c>
      <c r="N39" s="246">
        <f t="shared" si="12"/>
        <v>3739.9922699999997</v>
      </c>
      <c r="O39" s="246">
        <f>SUM(O40:O43)</f>
        <v>128460</v>
      </c>
      <c r="P39" s="1550">
        <f>SUM(P40:P43)</f>
        <v>3869.98596</v>
      </c>
      <c r="Q39" s="20">
        <f>SUM(Q40:Q43)</f>
        <v>128460</v>
      </c>
      <c r="R39" s="18">
        <f>SUM(R40:R43)</f>
        <v>3869.98596</v>
      </c>
      <c r="S39" s="780">
        <v>128460</v>
      </c>
      <c r="T39" s="29">
        <f>S39*30.126/1000</f>
        <v>3869.98596</v>
      </c>
      <c r="U39" s="29">
        <v>128460</v>
      </c>
      <c r="V39" s="480">
        <f>U39*30.126/1000</f>
        <v>3869.98596</v>
      </c>
    </row>
    <row r="40" spans="1:22" s="6" customFormat="1" ht="15" customHeight="1">
      <c r="A40" s="122"/>
      <c r="B40" s="1744" t="s">
        <v>130</v>
      </c>
      <c r="C40" s="939">
        <v>3035</v>
      </c>
      <c r="D40" s="2633">
        <v>3410</v>
      </c>
      <c r="E40" s="2371">
        <v>90951</v>
      </c>
      <c r="F40" s="227">
        <f>(E40*30.126)/1000</f>
        <v>2739.989826</v>
      </c>
      <c r="G40" s="563">
        <v>90951</v>
      </c>
      <c r="H40" s="569">
        <f>G40*30.126/1000</f>
        <v>2739.989826</v>
      </c>
      <c r="I40" s="257">
        <v>90951</v>
      </c>
      <c r="J40" s="257">
        <f>I40*30.126/1000</f>
        <v>2739.989826</v>
      </c>
      <c r="K40" s="257">
        <v>90951</v>
      </c>
      <c r="L40" s="257">
        <f>K40*30.126/1000</f>
        <v>2739.989826</v>
      </c>
      <c r="M40" s="257">
        <v>90951</v>
      </c>
      <c r="N40" s="257">
        <f>M40*30.126/1000</f>
        <v>2739.989826</v>
      </c>
      <c r="O40" s="257">
        <v>90951</v>
      </c>
      <c r="P40" s="1576">
        <f>O40*30.126/1000</f>
        <v>2739.989826</v>
      </c>
      <c r="Q40" s="43">
        <v>90951</v>
      </c>
      <c r="R40" s="42">
        <f>Q40*30.126/1000</f>
        <v>2739.989826</v>
      </c>
      <c r="S40" s="930"/>
      <c r="T40" s="41"/>
      <c r="U40" s="41"/>
      <c r="V40" s="227"/>
    </row>
    <row r="41" spans="1:22" s="6" customFormat="1" ht="15" customHeight="1" hidden="1">
      <c r="A41" s="115"/>
      <c r="B41" s="1744" t="s">
        <v>129</v>
      </c>
      <c r="C41" s="939"/>
      <c r="D41" s="2633">
        <v>80</v>
      </c>
      <c r="E41" s="2371"/>
      <c r="F41" s="227"/>
      <c r="G41" s="563"/>
      <c r="H41" s="569"/>
      <c r="I41" s="257"/>
      <c r="J41" s="257">
        <f>I41*30.126/1000</f>
        <v>0</v>
      </c>
      <c r="K41" s="257"/>
      <c r="L41" s="257"/>
      <c r="M41" s="257"/>
      <c r="N41" s="257"/>
      <c r="O41" s="257"/>
      <c r="P41" s="1576">
        <f>O41*30.126/1000</f>
        <v>0</v>
      </c>
      <c r="Q41" s="43"/>
      <c r="R41" s="42">
        <f>Q41*30.126/1000</f>
        <v>0</v>
      </c>
      <c r="S41" s="930"/>
      <c r="T41" s="41"/>
      <c r="U41" s="41"/>
      <c r="V41" s="227"/>
    </row>
    <row r="42" spans="1:22" s="6" customFormat="1" ht="15" customHeight="1">
      <c r="A42" s="115"/>
      <c r="B42" s="1744" t="s">
        <v>128</v>
      </c>
      <c r="C42" s="939"/>
      <c r="D42" s="2633">
        <v>1250</v>
      </c>
      <c r="E42" s="772">
        <v>44812</v>
      </c>
      <c r="F42" s="227">
        <f>(E42*30.126)/1000</f>
        <v>1350.0063120000002</v>
      </c>
      <c r="G42" s="446">
        <v>33194</v>
      </c>
      <c r="H42" s="569">
        <f>G42*30.126/1000</f>
        <v>1000.002444</v>
      </c>
      <c r="I42" s="249">
        <v>33194</v>
      </c>
      <c r="J42" s="257">
        <f>I42*30.126/1000</f>
        <v>1000.002444</v>
      </c>
      <c r="K42" s="249">
        <v>33194</v>
      </c>
      <c r="L42" s="257">
        <f>K42*30.126/1000</f>
        <v>1000.002444</v>
      </c>
      <c r="M42" s="249">
        <v>33194</v>
      </c>
      <c r="N42" s="257">
        <f>M42*30.126/1000</f>
        <v>1000.002444</v>
      </c>
      <c r="O42" s="249">
        <v>33194</v>
      </c>
      <c r="P42" s="1576">
        <f>O42*30.126/1000</f>
        <v>1000.002444</v>
      </c>
      <c r="Q42" s="35">
        <v>33194</v>
      </c>
      <c r="R42" s="42">
        <f>Q42*30.126/1000</f>
        <v>1000.002444</v>
      </c>
      <c r="S42" s="782"/>
      <c r="T42" s="41"/>
      <c r="U42" s="9"/>
      <c r="V42" s="227"/>
    </row>
    <row r="43" spans="1:22" s="6" customFormat="1" ht="15" customHeight="1" thickBot="1">
      <c r="A43" s="124"/>
      <c r="B43" s="1751" t="s">
        <v>126</v>
      </c>
      <c r="C43" s="1239"/>
      <c r="D43" s="2690">
        <v>97</v>
      </c>
      <c r="E43" s="2374">
        <v>4315</v>
      </c>
      <c r="F43" s="2694">
        <f>(E43*30.126)/1000</f>
        <v>129.99369000000002</v>
      </c>
      <c r="G43" s="537"/>
      <c r="H43" s="526"/>
      <c r="I43" s="280">
        <v>4315</v>
      </c>
      <c r="J43" s="373">
        <f>I43*30.126/1000</f>
        <v>129.99369000000002</v>
      </c>
      <c r="K43" s="280"/>
      <c r="L43" s="280"/>
      <c r="M43" s="280"/>
      <c r="N43" s="280"/>
      <c r="O43" s="280">
        <v>4315</v>
      </c>
      <c r="P43" s="1610">
        <f>O43*30.126/1000</f>
        <v>129.99369000000002</v>
      </c>
      <c r="Q43" s="1100">
        <v>4315</v>
      </c>
      <c r="R43" s="1497">
        <f>Q43*30.126/1000</f>
        <v>129.99369000000002</v>
      </c>
      <c r="S43" s="1532"/>
      <c r="T43" s="1620"/>
      <c r="U43" s="106"/>
      <c r="V43" s="1251"/>
    </row>
    <row r="44" ht="19.5" customHeight="1" thickBot="1"/>
    <row r="45" spans="1:22" s="23" customFormat="1" ht="39.75" customHeight="1" thickTop="1">
      <c r="A45" s="2851"/>
      <c r="B45" s="2847"/>
      <c r="C45" s="544" t="s">
        <v>506</v>
      </c>
      <c r="D45" s="2112" t="s">
        <v>507</v>
      </c>
      <c r="E45" s="2890" t="s">
        <v>1182</v>
      </c>
      <c r="F45" s="2891"/>
      <c r="G45" s="570" t="s">
        <v>510</v>
      </c>
      <c r="H45" s="473" t="s">
        <v>510</v>
      </c>
      <c r="I45" s="474" t="s">
        <v>87</v>
      </c>
      <c r="J45" s="474" t="s">
        <v>87</v>
      </c>
      <c r="K45" s="2871" t="s">
        <v>509</v>
      </c>
      <c r="L45" s="2871"/>
      <c r="M45" s="2871" t="s">
        <v>508</v>
      </c>
      <c r="N45" s="2871"/>
      <c r="O45" s="475" t="s">
        <v>952</v>
      </c>
      <c r="P45" s="767" t="s">
        <v>952</v>
      </c>
      <c r="Q45" s="2859" t="s">
        <v>183</v>
      </c>
      <c r="R45" s="2860"/>
      <c r="S45" s="2880" t="s">
        <v>725</v>
      </c>
      <c r="T45" s="2877"/>
      <c r="U45" s="2877" t="s">
        <v>726</v>
      </c>
      <c r="V45" s="2879"/>
    </row>
    <row r="46" spans="1:22" s="24" customFormat="1" ht="15" customHeight="1" thickBot="1">
      <c r="A46" s="2848"/>
      <c r="B46" s="2849"/>
      <c r="C46" s="545" t="s">
        <v>966</v>
      </c>
      <c r="D46" s="2304" t="s">
        <v>966</v>
      </c>
      <c r="E46" s="768" t="s">
        <v>435</v>
      </c>
      <c r="F46" s="307" t="s">
        <v>966</v>
      </c>
      <c r="G46" s="461" t="s">
        <v>435</v>
      </c>
      <c r="H46" s="346" t="s">
        <v>966</v>
      </c>
      <c r="I46" s="450" t="s">
        <v>435</v>
      </c>
      <c r="J46" s="450" t="s">
        <v>966</v>
      </c>
      <c r="K46" s="239" t="s">
        <v>435</v>
      </c>
      <c r="L46" s="239" t="s">
        <v>966</v>
      </c>
      <c r="M46" s="239" t="s">
        <v>435</v>
      </c>
      <c r="N46" s="239" t="s">
        <v>966</v>
      </c>
      <c r="O46" s="451" t="s">
        <v>435</v>
      </c>
      <c r="P46" s="765" t="s">
        <v>966</v>
      </c>
      <c r="Q46" s="238" t="s">
        <v>435</v>
      </c>
      <c r="R46" s="993" t="s">
        <v>966</v>
      </c>
      <c r="S46" s="2117" t="s">
        <v>435</v>
      </c>
      <c r="T46" s="239" t="s">
        <v>966</v>
      </c>
      <c r="U46" s="239" t="s">
        <v>435</v>
      </c>
      <c r="V46" s="307" t="s">
        <v>966</v>
      </c>
    </row>
    <row r="47" spans="1:22" s="420" customFormat="1" ht="19.5" customHeight="1">
      <c r="A47" s="1776" t="s">
        <v>748</v>
      </c>
      <c r="B47" s="1656" t="s">
        <v>318</v>
      </c>
      <c r="C47" s="1015">
        <f>C56</f>
        <v>0</v>
      </c>
      <c r="D47" s="1507">
        <f aca="true" t="shared" si="13" ref="D47:N47">D56</f>
        <v>0</v>
      </c>
      <c r="E47" s="1018">
        <f t="shared" si="13"/>
        <v>0</v>
      </c>
      <c r="F47" s="1017">
        <f t="shared" si="13"/>
        <v>0</v>
      </c>
      <c r="G47" s="1102">
        <f t="shared" si="13"/>
        <v>530000</v>
      </c>
      <c r="H47" s="1015">
        <f t="shared" si="13"/>
        <v>15966.78</v>
      </c>
      <c r="I47" s="1016">
        <f t="shared" si="13"/>
        <v>530000</v>
      </c>
      <c r="J47" s="1016">
        <f t="shared" si="13"/>
        <v>15966.78</v>
      </c>
      <c r="K47" s="1016">
        <f t="shared" si="13"/>
        <v>0</v>
      </c>
      <c r="L47" s="1016">
        <f t="shared" si="13"/>
        <v>0</v>
      </c>
      <c r="M47" s="1016">
        <f t="shared" si="13"/>
        <v>0</v>
      </c>
      <c r="N47" s="1016">
        <f t="shared" si="13"/>
        <v>0</v>
      </c>
      <c r="O47" s="1016">
        <f aca="true" t="shared" si="14" ref="O47:V47">O56</f>
        <v>530000</v>
      </c>
      <c r="P47" s="1507">
        <f t="shared" si="14"/>
        <v>15966.78</v>
      </c>
      <c r="Q47" s="1015">
        <f>SUM(Q50+Q56)</f>
        <v>528850</v>
      </c>
      <c r="R47" s="1014">
        <f>R56+R50</f>
        <v>15932.135100000001</v>
      </c>
      <c r="S47" s="1013">
        <f t="shared" si="14"/>
        <v>0</v>
      </c>
      <c r="T47" s="1016">
        <f t="shared" si="14"/>
        <v>0</v>
      </c>
      <c r="U47" s="1016">
        <f t="shared" si="14"/>
        <v>0</v>
      </c>
      <c r="V47" s="1017">
        <f t="shared" si="14"/>
        <v>0</v>
      </c>
    </row>
    <row r="48" spans="1:22" s="30" customFormat="1" ht="15" customHeight="1">
      <c r="A48" s="1020"/>
      <c r="B48" s="1657" t="s">
        <v>7</v>
      </c>
      <c r="C48" s="1024">
        <f>C57</f>
        <v>0</v>
      </c>
      <c r="D48" s="1508">
        <f aca="true" t="shared" si="15" ref="D48:N48">D57</f>
        <v>0</v>
      </c>
      <c r="E48" s="1027">
        <f t="shared" si="15"/>
        <v>0</v>
      </c>
      <c r="F48" s="1026">
        <f t="shared" si="15"/>
        <v>0</v>
      </c>
      <c r="G48" s="369">
        <f t="shared" si="15"/>
        <v>26500</v>
      </c>
      <c r="H48" s="1024">
        <f t="shared" si="15"/>
        <v>798.339</v>
      </c>
      <c r="I48" s="1025">
        <f t="shared" si="15"/>
        <v>26500</v>
      </c>
      <c r="J48" s="1025">
        <f t="shared" si="15"/>
        <v>798.339</v>
      </c>
      <c r="K48" s="1025">
        <f t="shared" si="15"/>
        <v>0</v>
      </c>
      <c r="L48" s="1025">
        <f t="shared" si="15"/>
        <v>0</v>
      </c>
      <c r="M48" s="1025">
        <f t="shared" si="15"/>
        <v>0</v>
      </c>
      <c r="N48" s="1025">
        <f t="shared" si="15"/>
        <v>0</v>
      </c>
      <c r="O48" s="1025">
        <f>O57</f>
        <v>26500</v>
      </c>
      <c r="P48" s="1508">
        <f>P57</f>
        <v>798.339</v>
      </c>
      <c r="Q48" s="1024">
        <f>SUM(Q51+Q57)</f>
        <v>28153</v>
      </c>
      <c r="R48" s="1023">
        <f aca="true" t="shared" si="16" ref="R48:V49">R57</f>
        <v>770.77371</v>
      </c>
      <c r="S48" s="1022">
        <f t="shared" si="16"/>
        <v>0</v>
      </c>
      <c r="T48" s="1025">
        <f t="shared" si="16"/>
        <v>0</v>
      </c>
      <c r="U48" s="1025">
        <f t="shared" si="16"/>
        <v>0</v>
      </c>
      <c r="V48" s="1026">
        <f t="shared" si="16"/>
        <v>0</v>
      </c>
    </row>
    <row r="49" spans="1:22" s="49" customFormat="1" ht="15" customHeight="1">
      <c r="A49" s="1029"/>
      <c r="B49" s="1658" t="s">
        <v>8</v>
      </c>
      <c r="C49" s="1033">
        <f>C58</f>
        <v>0</v>
      </c>
      <c r="D49" s="1509">
        <f aca="true" t="shared" si="17" ref="D49:N49">D58</f>
        <v>0</v>
      </c>
      <c r="E49" s="1036">
        <f t="shared" si="17"/>
        <v>0</v>
      </c>
      <c r="F49" s="1035">
        <f t="shared" si="17"/>
        <v>0</v>
      </c>
      <c r="G49" s="1082">
        <f t="shared" si="17"/>
        <v>503500</v>
      </c>
      <c r="H49" s="1033">
        <f t="shared" si="17"/>
        <v>15168.441</v>
      </c>
      <c r="I49" s="1034">
        <f t="shared" si="17"/>
        <v>503500</v>
      </c>
      <c r="J49" s="1034">
        <f t="shared" si="17"/>
        <v>15168.441</v>
      </c>
      <c r="K49" s="1034">
        <f t="shared" si="17"/>
        <v>0</v>
      </c>
      <c r="L49" s="1034">
        <f t="shared" si="17"/>
        <v>0</v>
      </c>
      <c r="M49" s="1034">
        <f t="shared" si="17"/>
        <v>0</v>
      </c>
      <c r="N49" s="1034">
        <f t="shared" si="17"/>
        <v>0</v>
      </c>
      <c r="O49" s="1034">
        <f>O58</f>
        <v>503500</v>
      </c>
      <c r="P49" s="1509">
        <f>P58</f>
        <v>15168.441</v>
      </c>
      <c r="Q49" s="1033">
        <f>SUM(Q52+Q58)</f>
        <v>500697</v>
      </c>
      <c r="R49" s="1032">
        <f t="shared" si="16"/>
        <v>14644.700490000001</v>
      </c>
      <c r="S49" s="1031">
        <f t="shared" si="16"/>
        <v>0</v>
      </c>
      <c r="T49" s="1034">
        <f t="shared" si="16"/>
        <v>0</v>
      </c>
      <c r="U49" s="1034">
        <f t="shared" si="16"/>
        <v>0</v>
      </c>
      <c r="V49" s="1035">
        <f t="shared" si="16"/>
        <v>0</v>
      </c>
    </row>
    <row r="50" spans="1:22" s="49" customFormat="1" ht="15" customHeight="1">
      <c r="A50" s="1038"/>
      <c r="B50" s="1659" t="s">
        <v>965</v>
      </c>
      <c r="C50" s="1042">
        <f>C53</f>
        <v>0</v>
      </c>
      <c r="D50" s="1510">
        <f aca="true" t="shared" si="18" ref="D50:N50">D53</f>
        <v>0</v>
      </c>
      <c r="E50" s="1045">
        <f t="shared" si="18"/>
        <v>0</v>
      </c>
      <c r="F50" s="1044">
        <f t="shared" si="18"/>
        <v>0</v>
      </c>
      <c r="G50" s="1083">
        <f t="shared" si="18"/>
        <v>530000</v>
      </c>
      <c r="H50" s="1042">
        <f t="shared" si="18"/>
        <v>15966.78</v>
      </c>
      <c r="I50" s="1043">
        <f t="shared" si="18"/>
        <v>530000</v>
      </c>
      <c r="J50" s="1043">
        <f t="shared" si="18"/>
        <v>15966.78</v>
      </c>
      <c r="K50" s="1043">
        <f t="shared" si="18"/>
        <v>0</v>
      </c>
      <c r="L50" s="1043">
        <f t="shared" si="18"/>
        <v>0</v>
      </c>
      <c r="M50" s="1043">
        <f t="shared" si="18"/>
        <v>0</v>
      </c>
      <c r="N50" s="1043">
        <f t="shared" si="18"/>
        <v>0</v>
      </c>
      <c r="O50" s="1043">
        <f aca="true" t="shared" si="19" ref="O50:V50">O53</f>
        <v>530000</v>
      </c>
      <c r="P50" s="1510">
        <f t="shared" si="19"/>
        <v>15966.78</v>
      </c>
      <c r="Q50" s="1042">
        <f t="shared" si="19"/>
        <v>17150</v>
      </c>
      <c r="R50" s="1041">
        <f t="shared" si="19"/>
        <v>516.6609</v>
      </c>
      <c r="S50" s="1040">
        <f t="shared" si="19"/>
        <v>0</v>
      </c>
      <c r="T50" s="1043">
        <f t="shared" si="19"/>
        <v>0</v>
      </c>
      <c r="U50" s="1043">
        <f t="shared" si="19"/>
        <v>0</v>
      </c>
      <c r="V50" s="1044">
        <f t="shared" si="19"/>
        <v>0</v>
      </c>
    </row>
    <row r="51" spans="1:22" s="30" customFormat="1" ht="15" customHeight="1">
      <c r="A51" s="1020"/>
      <c r="B51" s="1657" t="s">
        <v>7</v>
      </c>
      <c r="C51" s="1024">
        <f aca="true" t="shared" si="20" ref="C51:V52">C54</f>
        <v>0</v>
      </c>
      <c r="D51" s="1508">
        <f t="shared" si="20"/>
        <v>0</v>
      </c>
      <c r="E51" s="1027">
        <f t="shared" si="20"/>
        <v>0</v>
      </c>
      <c r="F51" s="1026">
        <f t="shared" si="20"/>
        <v>0</v>
      </c>
      <c r="G51" s="369">
        <f t="shared" si="20"/>
        <v>26500</v>
      </c>
      <c r="H51" s="1024">
        <f t="shared" si="20"/>
        <v>798.339</v>
      </c>
      <c r="I51" s="1025">
        <f t="shared" si="20"/>
        <v>26500</v>
      </c>
      <c r="J51" s="1025">
        <f t="shared" si="20"/>
        <v>798.339</v>
      </c>
      <c r="K51" s="1025">
        <f t="shared" si="20"/>
        <v>0</v>
      </c>
      <c r="L51" s="1025">
        <f t="shared" si="20"/>
        <v>0</v>
      </c>
      <c r="M51" s="1025">
        <f t="shared" si="20"/>
        <v>0</v>
      </c>
      <c r="N51" s="1025">
        <f t="shared" si="20"/>
        <v>0</v>
      </c>
      <c r="O51" s="1025">
        <f t="shared" si="20"/>
        <v>26500</v>
      </c>
      <c r="P51" s="1508">
        <f t="shared" si="20"/>
        <v>798.339</v>
      </c>
      <c r="Q51" s="1024">
        <f t="shared" si="20"/>
        <v>2568</v>
      </c>
      <c r="R51" s="1023">
        <f t="shared" si="20"/>
        <v>77.363568</v>
      </c>
      <c r="S51" s="1022">
        <f t="shared" si="20"/>
        <v>0</v>
      </c>
      <c r="T51" s="1025">
        <f t="shared" si="20"/>
        <v>0</v>
      </c>
      <c r="U51" s="1025">
        <f t="shared" si="20"/>
        <v>0</v>
      </c>
      <c r="V51" s="1026">
        <f t="shared" si="20"/>
        <v>0</v>
      </c>
    </row>
    <row r="52" spans="1:22" s="49" customFormat="1" ht="15" customHeight="1">
      <c r="A52" s="1047"/>
      <c r="B52" s="1660" t="s">
        <v>8</v>
      </c>
      <c r="C52" s="1051">
        <f t="shared" si="20"/>
        <v>0</v>
      </c>
      <c r="D52" s="1511">
        <f t="shared" si="20"/>
        <v>0</v>
      </c>
      <c r="E52" s="1054">
        <f t="shared" si="20"/>
        <v>0</v>
      </c>
      <c r="F52" s="1053">
        <f t="shared" si="20"/>
        <v>0</v>
      </c>
      <c r="G52" s="1084">
        <f t="shared" si="20"/>
        <v>503500</v>
      </c>
      <c r="H52" s="1051">
        <f t="shared" si="20"/>
        <v>15168.441</v>
      </c>
      <c r="I52" s="1052">
        <f t="shared" si="20"/>
        <v>503500</v>
      </c>
      <c r="J52" s="1052">
        <f t="shared" si="20"/>
        <v>15168.441</v>
      </c>
      <c r="K52" s="1052">
        <f t="shared" si="20"/>
        <v>0</v>
      </c>
      <c r="L52" s="1052">
        <f t="shared" si="20"/>
        <v>0</v>
      </c>
      <c r="M52" s="1052">
        <f t="shared" si="20"/>
        <v>0</v>
      </c>
      <c r="N52" s="1052">
        <f t="shared" si="20"/>
        <v>0</v>
      </c>
      <c r="O52" s="1052">
        <f t="shared" si="20"/>
        <v>503500</v>
      </c>
      <c r="P52" s="1511">
        <f t="shared" si="20"/>
        <v>15168.441</v>
      </c>
      <c r="Q52" s="1051">
        <f t="shared" si="20"/>
        <v>14582</v>
      </c>
      <c r="R52" s="1050">
        <f t="shared" si="20"/>
        <v>439.297332</v>
      </c>
      <c r="S52" s="1049">
        <f t="shared" si="20"/>
        <v>0</v>
      </c>
      <c r="T52" s="1052">
        <f t="shared" si="20"/>
        <v>0</v>
      </c>
      <c r="U52" s="1052">
        <f t="shared" si="20"/>
        <v>0</v>
      </c>
      <c r="V52" s="1053">
        <f t="shared" si="20"/>
        <v>0</v>
      </c>
    </row>
    <row r="53" spans="1:22" s="24" customFormat="1" ht="15" customHeight="1">
      <c r="A53" s="1103"/>
      <c r="B53" s="1752" t="s">
        <v>176</v>
      </c>
      <c r="C53" s="1132">
        <f aca="true" t="shared" si="21" ref="C53:V53">SUM(C54:C55)</f>
        <v>0</v>
      </c>
      <c r="D53" s="1586">
        <f t="shared" si="21"/>
        <v>0</v>
      </c>
      <c r="E53" s="2546">
        <f t="shared" si="21"/>
        <v>0</v>
      </c>
      <c r="F53" s="1165">
        <f t="shared" si="21"/>
        <v>0</v>
      </c>
      <c r="G53" s="1163">
        <f t="shared" si="21"/>
        <v>530000</v>
      </c>
      <c r="H53" s="1132">
        <f t="shared" si="21"/>
        <v>15966.78</v>
      </c>
      <c r="I53" s="1164">
        <f t="shared" si="21"/>
        <v>530000</v>
      </c>
      <c r="J53" s="1164">
        <f t="shared" si="21"/>
        <v>15966.78</v>
      </c>
      <c r="K53" s="1164">
        <f t="shared" si="21"/>
        <v>0</v>
      </c>
      <c r="L53" s="1164">
        <f t="shared" si="21"/>
        <v>0</v>
      </c>
      <c r="M53" s="1164">
        <f t="shared" si="21"/>
        <v>0</v>
      </c>
      <c r="N53" s="1164">
        <f t="shared" si="21"/>
        <v>0</v>
      </c>
      <c r="O53" s="1164">
        <f t="shared" si="21"/>
        <v>530000</v>
      </c>
      <c r="P53" s="1586">
        <f t="shared" si="21"/>
        <v>15966.78</v>
      </c>
      <c r="Q53" s="1132">
        <f t="shared" si="21"/>
        <v>17150</v>
      </c>
      <c r="R53" s="1131">
        <f t="shared" si="21"/>
        <v>516.6609</v>
      </c>
      <c r="S53" s="1130">
        <f t="shared" si="21"/>
        <v>0</v>
      </c>
      <c r="T53" s="1164">
        <f t="shared" si="21"/>
        <v>0</v>
      </c>
      <c r="U53" s="1164">
        <f t="shared" si="21"/>
        <v>0</v>
      </c>
      <c r="V53" s="1165">
        <f t="shared" si="21"/>
        <v>0</v>
      </c>
    </row>
    <row r="54" spans="1:22" s="30" customFormat="1" ht="15" customHeight="1">
      <c r="A54" s="196"/>
      <c r="B54" s="50" t="s">
        <v>340</v>
      </c>
      <c r="C54" s="1242"/>
      <c r="D54" s="2531"/>
      <c r="E54" s="772"/>
      <c r="F54" s="139"/>
      <c r="G54" s="963">
        <v>26500</v>
      </c>
      <c r="H54" s="35">
        <f>G54*30.126/1000</f>
        <v>798.339</v>
      </c>
      <c r="I54" s="9">
        <v>26500</v>
      </c>
      <c r="J54" s="9">
        <f>I54*30.126/1000</f>
        <v>798.339</v>
      </c>
      <c r="K54" s="9"/>
      <c r="L54" s="9"/>
      <c r="M54" s="9"/>
      <c r="N54" s="9"/>
      <c r="O54" s="9">
        <v>26500</v>
      </c>
      <c r="P54" s="382">
        <f>O54*30.126/1000</f>
        <v>798.339</v>
      </c>
      <c r="Q54" s="35">
        <v>2568</v>
      </c>
      <c r="R54" s="8">
        <f>Q54*30.126/1000</f>
        <v>77.363568</v>
      </c>
      <c r="S54" s="782"/>
      <c r="T54" s="9"/>
      <c r="U54" s="9"/>
      <c r="V54" s="139"/>
    </row>
    <row r="55" spans="1:22" s="49" customFormat="1" ht="15" customHeight="1" thickBot="1">
      <c r="A55" s="1243"/>
      <c r="B55" s="1665" t="s">
        <v>341</v>
      </c>
      <c r="C55" s="1244"/>
      <c r="D55" s="2532"/>
      <c r="E55" s="2547"/>
      <c r="F55" s="2548"/>
      <c r="G55" s="1246">
        <v>503500</v>
      </c>
      <c r="H55" s="1159">
        <f>G55*30.126/1000</f>
        <v>15168.441</v>
      </c>
      <c r="I55" s="1247">
        <v>503500</v>
      </c>
      <c r="J55" s="1161">
        <f>I55*30.126/1000</f>
        <v>15168.441</v>
      </c>
      <c r="K55" s="1247"/>
      <c r="L55" s="1161"/>
      <c r="M55" s="1247"/>
      <c r="N55" s="1247"/>
      <c r="O55" s="1247">
        <v>503500</v>
      </c>
      <c r="P55" s="1589">
        <f>O55*30.126/1000</f>
        <v>15168.441</v>
      </c>
      <c r="Q55" s="1245">
        <v>14582</v>
      </c>
      <c r="R55" s="2555">
        <f>Q55*30.126/1000</f>
        <v>439.297332</v>
      </c>
      <c r="S55" s="2552"/>
      <c r="T55" s="1161"/>
      <c r="U55" s="1247"/>
      <c r="V55" s="1162"/>
    </row>
    <row r="56" spans="1:22" s="49" customFormat="1" ht="15" customHeight="1">
      <c r="A56" s="1038"/>
      <c r="B56" s="1659" t="s">
        <v>967</v>
      </c>
      <c r="C56" s="1042">
        <f>C59</f>
        <v>0</v>
      </c>
      <c r="D56" s="1510">
        <f aca="true" t="shared" si="22" ref="D56:N56">D59</f>
        <v>0</v>
      </c>
      <c r="E56" s="1045">
        <f t="shared" si="22"/>
        <v>0</v>
      </c>
      <c r="F56" s="1044">
        <f t="shared" si="22"/>
        <v>0</v>
      </c>
      <c r="G56" s="1083">
        <f t="shared" si="22"/>
        <v>530000</v>
      </c>
      <c r="H56" s="1042">
        <f t="shared" si="22"/>
        <v>15966.78</v>
      </c>
      <c r="I56" s="1043">
        <f t="shared" si="22"/>
        <v>530000</v>
      </c>
      <c r="J56" s="1043">
        <f t="shared" si="22"/>
        <v>15966.78</v>
      </c>
      <c r="K56" s="1043">
        <f t="shared" si="22"/>
        <v>0</v>
      </c>
      <c r="L56" s="1043">
        <f t="shared" si="22"/>
        <v>0</v>
      </c>
      <c r="M56" s="1043">
        <f t="shared" si="22"/>
        <v>0</v>
      </c>
      <c r="N56" s="1043">
        <f t="shared" si="22"/>
        <v>0</v>
      </c>
      <c r="O56" s="1043">
        <f aca="true" t="shared" si="23" ref="O56:V56">O59</f>
        <v>530000</v>
      </c>
      <c r="P56" s="1510">
        <f t="shared" si="23"/>
        <v>15966.78</v>
      </c>
      <c r="Q56" s="1042">
        <f t="shared" si="23"/>
        <v>511700</v>
      </c>
      <c r="R56" s="1041">
        <f t="shared" si="23"/>
        <v>15415.4742</v>
      </c>
      <c r="S56" s="1040">
        <f t="shared" si="23"/>
        <v>0</v>
      </c>
      <c r="T56" s="1043">
        <f t="shared" si="23"/>
        <v>0</v>
      </c>
      <c r="U56" s="1043">
        <f t="shared" si="23"/>
        <v>0</v>
      </c>
      <c r="V56" s="1044">
        <f t="shared" si="23"/>
        <v>0</v>
      </c>
    </row>
    <row r="57" spans="1:22" s="30" customFormat="1" ht="15" customHeight="1">
      <c r="A57" s="1020"/>
      <c r="B57" s="1657" t="s">
        <v>7</v>
      </c>
      <c r="C57" s="1024">
        <f>C60</f>
        <v>0</v>
      </c>
      <c r="D57" s="1508">
        <f aca="true" t="shared" si="24" ref="D57:N57">D60</f>
        <v>0</v>
      </c>
      <c r="E57" s="1027">
        <f t="shared" si="24"/>
        <v>0</v>
      </c>
      <c r="F57" s="1026">
        <f t="shared" si="24"/>
        <v>0</v>
      </c>
      <c r="G57" s="369">
        <f t="shared" si="24"/>
        <v>26500</v>
      </c>
      <c r="H57" s="1024">
        <f t="shared" si="24"/>
        <v>798.339</v>
      </c>
      <c r="I57" s="1025">
        <f t="shared" si="24"/>
        <v>26500</v>
      </c>
      <c r="J57" s="1025">
        <f t="shared" si="24"/>
        <v>798.339</v>
      </c>
      <c r="K57" s="1025">
        <f t="shared" si="24"/>
        <v>0</v>
      </c>
      <c r="L57" s="1025">
        <f t="shared" si="24"/>
        <v>0</v>
      </c>
      <c r="M57" s="1025">
        <f t="shared" si="24"/>
        <v>0</v>
      </c>
      <c r="N57" s="1025">
        <f t="shared" si="24"/>
        <v>0</v>
      </c>
      <c r="O57" s="1025">
        <f aca="true" t="shared" si="25" ref="O57:R58">O60</f>
        <v>26500</v>
      </c>
      <c r="P57" s="1508">
        <f t="shared" si="25"/>
        <v>798.339</v>
      </c>
      <c r="Q57" s="1024">
        <f t="shared" si="25"/>
        <v>25585</v>
      </c>
      <c r="R57" s="1023">
        <f t="shared" si="25"/>
        <v>770.77371</v>
      </c>
      <c r="S57" s="1022">
        <f aca="true" t="shared" si="26" ref="S57:V58">S60</f>
        <v>0</v>
      </c>
      <c r="T57" s="1025">
        <f t="shared" si="26"/>
        <v>0</v>
      </c>
      <c r="U57" s="1025">
        <f t="shared" si="26"/>
        <v>0</v>
      </c>
      <c r="V57" s="1026">
        <f t="shared" si="26"/>
        <v>0</v>
      </c>
    </row>
    <row r="58" spans="1:22" s="49" customFormat="1" ht="15" customHeight="1">
      <c r="A58" s="1047"/>
      <c r="B58" s="1660" t="s">
        <v>8</v>
      </c>
      <c r="C58" s="1051">
        <f>C61</f>
        <v>0</v>
      </c>
      <c r="D58" s="1511">
        <f aca="true" t="shared" si="27" ref="D58:N58">D61</f>
        <v>0</v>
      </c>
      <c r="E58" s="1054">
        <f t="shared" si="27"/>
        <v>0</v>
      </c>
      <c r="F58" s="1053">
        <f t="shared" si="27"/>
        <v>0</v>
      </c>
      <c r="G58" s="1084">
        <f t="shared" si="27"/>
        <v>503500</v>
      </c>
      <c r="H58" s="1051">
        <f t="shared" si="27"/>
        <v>15168.441</v>
      </c>
      <c r="I58" s="1052">
        <f t="shared" si="27"/>
        <v>503500</v>
      </c>
      <c r="J58" s="1052">
        <f t="shared" si="27"/>
        <v>15168.441</v>
      </c>
      <c r="K58" s="1052">
        <f t="shared" si="27"/>
        <v>0</v>
      </c>
      <c r="L58" s="1052">
        <f t="shared" si="27"/>
        <v>0</v>
      </c>
      <c r="M58" s="1052">
        <f t="shared" si="27"/>
        <v>0</v>
      </c>
      <c r="N58" s="1052">
        <f t="shared" si="27"/>
        <v>0</v>
      </c>
      <c r="O58" s="1052">
        <f t="shared" si="25"/>
        <v>503500</v>
      </c>
      <c r="P58" s="1511">
        <f t="shared" si="25"/>
        <v>15168.441</v>
      </c>
      <c r="Q58" s="1051">
        <f t="shared" si="25"/>
        <v>486115</v>
      </c>
      <c r="R58" s="1050">
        <f t="shared" si="25"/>
        <v>14644.700490000001</v>
      </c>
      <c r="S58" s="1049">
        <f t="shared" si="26"/>
        <v>0</v>
      </c>
      <c r="T58" s="1052">
        <f t="shared" si="26"/>
        <v>0</v>
      </c>
      <c r="U58" s="1052">
        <f t="shared" si="26"/>
        <v>0</v>
      </c>
      <c r="V58" s="1053">
        <f t="shared" si="26"/>
        <v>0</v>
      </c>
    </row>
    <row r="59" spans="1:22" s="24" customFormat="1" ht="15" customHeight="1">
      <c r="A59" s="1103"/>
      <c r="B59" s="1752" t="s">
        <v>176</v>
      </c>
      <c r="C59" s="1132">
        <f aca="true" t="shared" si="28" ref="C59:H59">SUM(C60:C61)</f>
        <v>0</v>
      </c>
      <c r="D59" s="1586">
        <f t="shared" si="28"/>
        <v>0</v>
      </c>
      <c r="E59" s="2546">
        <f t="shared" si="28"/>
        <v>0</v>
      </c>
      <c r="F59" s="1165">
        <f t="shared" si="28"/>
        <v>0</v>
      </c>
      <c r="G59" s="1163">
        <f t="shared" si="28"/>
        <v>530000</v>
      </c>
      <c r="H59" s="1132">
        <f t="shared" si="28"/>
        <v>15966.78</v>
      </c>
      <c r="I59" s="1164">
        <f aca="true" t="shared" si="29" ref="I59:N59">SUM(I60:I61)</f>
        <v>530000</v>
      </c>
      <c r="J59" s="1164">
        <f t="shared" si="29"/>
        <v>15966.78</v>
      </c>
      <c r="K59" s="1164">
        <f t="shared" si="29"/>
        <v>0</v>
      </c>
      <c r="L59" s="1164">
        <f t="shared" si="29"/>
        <v>0</v>
      </c>
      <c r="M59" s="1164">
        <f t="shared" si="29"/>
        <v>0</v>
      </c>
      <c r="N59" s="1164">
        <f t="shared" si="29"/>
        <v>0</v>
      </c>
      <c r="O59" s="1164">
        <f aca="true" t="shared" si="30" ref="O59:V59">SUM(O60:O61)</f>
        <v>530000</v>
      </c>
      <c r="P59" s="1586">
        <f t="shared" si="30"/>
        <v>15966.78</v>
      </c>
      <c r="Q59" s="1132">
        <f t="shared" si="30"/>
        <v>511700</v>
      </c>
      <c r="R59" s="1131">
        <f t="shared" si="30"/>
        <v>15415.4742</v>
      </c>
      <c r="S59" s="1130">
        <f t="shared" si="30"/>
        <v>0</v>
      </c>
      <c r="T59" s="1164">
        <f t="shared" si="30"/>
        <v>0</v>
      </c>
      <c r="U59" s="1164">
        <f t="shared" si="30"/>
        <v>0</v>
      </c>
      <c r="V59" s="1165">
        <f t="shared" si="30"/>
        <v>0</v>
      </c>
    </row>
    <row r="60" spans="1:22" s="30" customFormat="1" ht="15" customHeight="1">
      <c r="A60" s="196"/>
      <c r="B60" s="50" t="s">
        <v>340</v>
      </c>
      <c r="C60" s="1242"/>
      <c r="D60" s="2531"/>
      <c r="E60" s="772"/>
      <c r="F60" s="139"/>
      <c r="G60" s="963">
        <v>26500</v>
      </c>
      <c r="H60" s="35">
        <f>G60*30.126/1000</f>
        <v>798.339</v>
      </c>
      <c r="I60" s="9">
        <v>26500</v>
      </c>
      <c r="J60" s="9">
        <f>I60*30.126/1000</f>
        <v>798.339</v>
      </c>
      <c r="K60" s="9"/>
      <c r="L60" s="9"/>
      <c r="M60" s="9"/>
      <c r="N60" s="9"/>
      <c r="O60" s="9">
        <v>26500</v>
      </c>
      <c r="P60" s="382">
        <f>O60*30.126/1000</f>
        <v>798.339</v>
      </c>
      <c r="Q60" s="35">
        <v>25585</v>
      </c>
      <c r="R60" s="8">
        <f>Q60*30.126/1000</f>
        <v>770.77371</v>
      </c>
      <c r="S60" s="782"/>
      <c r="T60" s="9"/>
      <c r="U60" s="9"/>
      <c r="V60" s="139"/>
    </row>
    <row r="61" spans="1:22" s="49" customFormat="1" ht="15" customHeight="1" thickBot="1">
      <c r="A61" s="1243"/>
      <c r="B61" s="1665" t="s">
        <v>341</v>
      </c>
      <c r="C61" s="1244"/>
      <c r="D61" s="2532"/>
      <c r="E61" s="2547"/>
      <c r="F61" s="2548"/>
      <c r="G61" s="1246">
        <v>503500</v>
      </c>
      <c r="H61" s="1159">
        <f>G61*30.126/1000</f>
        <v>15168.441</v>
      </c>
      <c r="I61" s="1247">
        <v>503500</v>
      </c>
      <c r="J61" s="1161">
        <f>I61*30.126/1000</f>
        <v>15168.441</v>
      </c>
      <c r="K61" s="1247"/>
      <c r="L61" s="1161"/>
      <c r="M61" s="1247"/>
      <c r="N61" s="1247"/>
      <c r="O61" s="1247">
        <v>503500</v>
      </c>
      <c r="P61" s="1589">
        <f>O61*30.126/1000</f>
        <v>15168.441</v>
      </c>
      <c r="Q61" s="1245">
        <v>486115</v>
      </c>
      <c r="R61" s="2555">
        <f>Q61*30.126/1000</f>
        <v>14644.700490000001</v>
      </c>
      <c r="S61" s="2552"/>
      <c r="T61" s="1161"/>
      <c r="U61" s="1247"/>
      <c r="V61" s="1162"/>
    </row>
    <row r="62" spans="1:4" s="6" customFormat="1" ht="19.5" customHeight="1" thickBot="1">
      <c r="A62" s="16"/>
      <c r="C62" s="275"/>
      <c r="D62" s="275"/>
    </row>
    <row r="63" spans="1:22" s="23" customFormat="1" ht="39.75" customHeight="1" thickTop="1">
      <c r="A63" s="2905"/>
      <c r="B63" s="2906"/>
      <c r="C63" s="553" t="s">
        <v>506</v>
      </c>
      <c r="D63" s="2314" t="s">
        <v>507</v>
      </c>
      <c r="E63" s="2922" t="s">
        <v>1182</v>
      </c>
      <c r="F63" s="2923"/>
      <c r="G63" s="460" t="s">
        <v>510</v>
      </c>
      <c r="H63" s="496" t="s">
        <v>510</v>
      </c>
      <c r="I63" s="497" t="s">
        <v>87</v>
      </c>
      <c r="J63" s="497" t="s">
        <v>87</v>
      </c>
      <c r="K63" s="2927" t="s">
        <v>509</v>
      </c>
      <c r="L63" s="2928"/>
      <c r="M63" s="2927" t="s">
        <v>508</v>
      </c>
      <c r="N63" s="2928"/>
      <c r="O63" s="498" t="s">
        <v>952</v>
      </c>
      <c r="P63" s="1571" t="s">
        <v>952</v>
      </c>
      <c r="Q63" s="2925" t="s">
        <v>183</v>
      </c>
      <c r="R63" s="2926"/>
      <c r="S63" s="2919" t="s">
        <v>725</v>
      </c>
      <c r="T63" s="2880"/>
      <c r="U63" s="2920" t="s">
        <v>726</v>
      </c>
      <c r="V63" s="2921"/>
    </row>
    <row r="64" spans="1:22" s="24" customFormat="1" ht="15" customHeight="1" thickBot="1">
      <c r="A64" s="2907"/>
      <c r="B64" s="2908"/>
      <c r="C64" s="554" t="s">
        <v>966</v>
      </c>
      <c r="D64" s="2315" t="s">
        <v>966</v>
      </c>
      <c r="E64" s="2318" t="s">
        <v>435</v>
      </c>
      <c r="F64" s="2234" t="s">
        <v>966</v>
      </c>
      <c r="G64" s="461" t="s">
        <v>435</v>
      </c>
      <c r="H64" s="352" t="s">
        <v>966</v>
      </c>
      <c r="I64" s="499" t="s">
        <v>435</v>
      </c>
      <c r="J64" s="499" t="s">
        <v>966</v>
      </c>
      <c r="K64" s="241" t="s">
        <v>435</v>
      </c>
      <c r="L64" s="241" t="s">
        <v>966</v>
      </c>
      <c r="M64" s="241" t="s">
        <v>435</v>
      </c>
      <c r="N64" s="241" t="s">
        <v>966</v>
      </c>
      <c r="O64" s="500" t="s">
        <v>435</v>
      </c>
      <c r="P64" s="1572" t="s">
        <v>966</v>
      </c>
      <c r="Q64" s="238" t="s">
        <v>435</v>
      </c>
      <c r="R64" s="993" t="s">
        <v>966</v>
      </c>
      <c r="S64" s="2117" t="s">
        <v>435</v>
      </c>
      <c r="T64" s="239" t="s">
        <v>966</v>
      </c>
      <c r="U64" s="239" t="s">
        <v>435</v>
      </c>
      <c r="V64" s="307" t="s">
        <v>966</v>
      </c>
    </row>
    <row r="65" spans="1:22" s="23" customFormat="1" ht="19.5" customHeight="1">
      <c r="A65" s="1666" t="s">
        <v>351</v>
      </c>
      <c r="B65" s="1704" t="s">
        <v>37</v>
      </c>
      <c r="C65" s="555">
        <f aca="true" t="shared" si="31" ref="C65:V65">C4+C47</f>
        <v>23902</v>
      </c>
      <c r="D65" s="1606">
        <f t="shared" si="31"/>
        <v>27123</v>
      </c>
      <c r="E65" s="2319">
        <f t="shared" si="31"/>
        <v>1263661</v>
      </c>
      <c r="F65" s="2320">
        <f t="shared" si="31"/>
        <v>38069.44762</v>
      </c>
      <c r="G65" s="493">
        <f t="shared" si="31"/>
        <v>1554101</v>
      </c>
      <c r="H65" s="502">
        <f t="shared" si="31"/>
        <v>46818.846726</v>
      </c>
      <c r="I65" s="487">
        <f t="shared" si="31"/>
        <v>1507221</v>
      </c>
      <c r="J65" s="487">
        <f t="shared" si="31"/>
        <v>45406.539846</v>
      </c>
      <c r="K65" s="487">
        <f t="shared" si="31"/>
        <v>1016730</v>
      </c>
      <c r="L65" s="487">
        <f t="shared" si="31"/>
        <v>30630.00798</v>
      </c>
      <c r="M65" s="487">
        <f t="shared" si="31"/>
        <v>974430</v>
      </c>
      <c r="N65" s="487">
        <f t="shared" si="31"/>
        <v>29355.67818</v>
      </c>
      <c r="O65" s="487">
        <f t="shared" si="31"/>
        <v>1507221</v>
      </c>
      <c r="P65" s="1606">
        <f t="shared" si="31"/>
        <v>45406.539846</v>
      </c>
      <c r="Q65" s="1621">
        <f t="shared" si="31"/>
        <v>1527796</v>
      </c>
      <c r="R65" s="2521">
        <f t="shared" si="31"/>
        <v>46026.382295999996</v>
      </c>
      <c r="S65" s="821">
        <f t="shared" si="31"/>
        <v>998946</v>
      </c>
      <c r="T65" s="422">
        <f t="shared" si="31"/>
        <v>30094.247196000004</v>
      </c>
      <c r="U65" s="422">
        <f t="shared" si="31"/>
        <v>998946</v>
      </c>
      <c r="V65" s="547">
        <f t="shared" si="31"/>
        <v>30094.247196000004</v>
      </c>
    </row>
    <row r="66" spans="1:22" s="30" customFormat="1" ht="15" customHeight="1">
      <c r="A66" s="1668"/>
      <c r="B66" s="1705" t="s">
        <v>965</v>
      </c>
      <c r="C66" s="556">
        <f aca="true" t="shared" si="32" ref="C66:V66">C6+C17+C39</f>
        <v>23562</v>
      </c>
      <c r="D66" s="1607">
        <f t="shared" si="32"/>
        <v>27093</v>
      </c>
      <c r="E66" s="2321">
        <f t="shared" si="32"/>
        <v>1109887</v>
      </c>
      <c r="F66" s="2322">
        <f t="shared" si="32"/>
        <v>33436.455762</v>
      </c>
      <c r="G66" s="494">
        <f t="shared" si="32"/>
        <v>971401</v>
      </c>
      <c r="H66" s="504">
        <f t="shared" si="32"/>
        <v>29264.426526</v>
      </c>
      <c r="I66" s="489">
        <f t="shared" si="32"/>
        <v>932521</v>
      </c>
      <c r="J66" s="489">
        <f t="shared" si="32"/>
        <v>28093.127646</v>
      </c>
      <c r="K66" s="489">
        <f t="shared" si="32"/>
        <v>974430</v>
      </c>
      <c r="L66" s="489">
        <f t="shared" si="32"/>
        <v>29355.67818</v>
      </c>
      <c r="M66" s="489">
        <f t="shared" si="32"/>
        <v>974430</v>
      </c>
      <c r="N66" s="489">
        <f t="shared" si="32"/>
        <v>29355.67818</v>
      </c>
      <c r="O66" s="489">
        <f t="shared" si="32"/>
        <v>932521</v>
      </c>
      <c r="P66" s="1607">
        <f t="shared" si="32"/>
        <v>28093.127646</v>
      </c>
      <c r="Q66" s="1622">
        <f>Q6+Q17+Q39+Q50</f>
        <v>971396</v>
      </c>
      <c r="R66" s="1622">
        <f>R6+R17+R39+R50</f>
        <v>29264.275895999996</v>
      </c>
      <c r="S66" s="822">
        <f t="shared" si="32"/>
        <v>954246</v>
      </c>
      <c r="T66" s="424">
        <f t="shared" si="32"/>
        <v>28747.614996000004</v>
      </c>
      <c r="U66" s="424">
        <f t="shared" si="32"/>
        <v>954246</v>
      </c>
      <c r="V66" s="549">
        <f t="shared" si="32"/>
        <v>28747.614996000004</v>
      </c>
    </row>
    <row r="67" spans="1:22" s="30" customFormat="1" ht="15" customHeight="1" thickBot="1">
      <c r="A67" s="1670"/>
      <c r="B67" s="1706" t="s">
        <v>967</v>
      </c>
      <c r="C67" s="557">
        <f aca="true" t="shared" si="33" ref="C67:V67">C24+C56</f>
        <v>340</v>
      </c>
      <c r="D67" s="1608">
        <f t="shared" si="33"/>
        <v>30</v>
      </c>
      <c r="E67" s="2323">
        <f t="shared" si="33"/>
        <v>153774</v>
      </c>
      <c r="F67" s="2324">
        <f t="shared" si="33"/>
        <v>4632.991858</v>
      </c>
      <c r="G67" s="495">
        <f t="shared" si="33"/>
        <v>582700</v>
      </c>
      <c r="H67" s="506">
        <f t="shared" si="33"/>
        <v>17554.4202</v>
      </c>
      <c r="I67" s="491">
        <f t="shared" si="33"/>
        <v>574700</v>
      </c>
      <c r="J67" s="491">
        <f t="shared" si="33"/>
        <v>17313.4122</v>
      </c>
      <c r="K67" s="491">
        <f t="shared" si="33"/>
        <v>42300</v>
      </c>
      <c r="L67" s="491">
        <f t="shared" si="33"/>
        <v>1274.3298</v>
      </c>
      <c r="M67" s="491">
        <f t="shared" si="33"/>
        <v>0</v>
      </c>
      <c r="N67" s="491">
        <f t="shared" si="33"/>
        <v>0</v>
      </c>
      <c r="O67" s="491">
        <f t="shared" si="33"/>
        <v>574700</v>
      </c>
      <c r="P67" s="1608">
        <f t="shared" si="33"/>
        <v>17313.4122</v>
      </c>
      <c r="Q67" s="2523">
        <f t="shared" si="33"/>
        <v>556400</v>
      </c>
      <c r="R67" s="2524">
        <f t="shared" si="33"/>
        <v>16762.1064</v>
      </c>
      <c r="S67" s="823">
        <f t="shared" si="33"/>
        <v>44700</v>
      </c>
      <c r="T67" s="486">
        <f t="shared" si="33"/>
        <v>1346.6322</v>
      </c>
      <c r="U67" s="486">
        <f t="shared" si="33"/>
        <v>44700</v>
      </c>
      <c r="V67" s="692">
        <f t="shared" si="33"/>
        <v>1346.6322</v>
      </c>
    </row>
  </sheetData>
  <sheetProtection/>
  <mergeCells count="21">
    <mergeCell ref="A63:B64"/>
    <mergeCell ref="K63:L63"/>
    <mergeCell ref="M63:N63"/>
    <mergeCell ref="M2:N2"/>
    <mergeCell ref="K45:L45"/>
    <mergeCell ref="M45:N45"/>
    <mergeCell ref="A2:B3"/>
    <mergeCell ref="S2:T2"/>
    <mergeCell ref="K2:L2"/>
    <mergeCell ref="S45:T45"/>
    <mergeCell ref="E2:F2"/>
    <mergeCell ref="S63:T63"/>
    <mergeCell ref="A45:B46"/>
    <mergeCell ref="U2:V2"/>
    <mergeCell ref="U45:V45"/>
    <mergeCell ref="U63:V63"/>
    <mergeCell ref="E45:F45"/>
    <mergeCell ref="E63:F63"/>
    <mergeCell ref="Q2:R2"/>
    <mergeCell ref="Q45:R45"/>
    <mergeCell ref="Q63:R63"/>
  </mergeCells>
  <printOptions horizontalCentered="1"/>
  <pageMargins left="0" right="0.7874015748031497" top="1.07" bottom="0.83" header="0" footer="0"/>
  <pageSetup horizontalDpi="600" verticalDpi="600" orientation="landscape" paperSize="9" scale="8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V121"/>
  <sheetViews>
    <sheetView showGridLines="0" zoomScalePageLayoutView="0" workbookViewId="0" topLeftCell="A1">
      <pane xSplit="2" ySplit="3" topLeftCell="C8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42" sqref="Q42"/>
    </sheetView>
  </sheetViews>
  <sheetFormatPr defaultColWidth="9.140625" defaultRowHeight="12.75"/>
  <cols>
    <col min="1" max="1" width="7.7109375" style="12" customWidth="1"/>
    <col min="2" max="2" width="70.7109375" style="3" customWidth="1"/>
    <col min="3" max="4" width="10.7109375" style="3" hidden="1" customWidth="1"/>
    <col min="5" max="6" width="10.7109375" style="2" customWidth="1"/>
    <col min="7" max="12" width="10.7109375" style="2" hidden="1" customWidth="1"/>
    <col min="13" max="13" width="10.7109375" style="3" hidden="1" customWidth="1"/>
    <col min="14" max="16" width="10.7109375" style="2" hidden="1" customWidth="1"/>
    <col min="17" max="22" width="10.7109375" style="2" customWidth="1"/>
    <col min="23" max="16384" width="9.140625" style="3" customWidth="1"/>
  </cols>
  <sheetData>
    <row r="1" ht="20.25" hidden="1" thickBot="1">
      <c r="A1" s="237" t="s">
        <v>1122</v>
      </c>
    </row>
    <row r="2" spans="1:22" s="21" customFormat="1" ht="39.75" customHeight="1" thickTop="1">
      <c r="A2" s="2938"/>
      <c r="B2" s="2939"/>
      <c r="C2" s="798" t="s">
        <v>506</v>
      </c>
      <c r="D2" s="1519" t="s">
        <v>507</v>
      </c>
      <c r="E2" s="2890" t="s">
        <v>184</v>
      </c>
      <c r="F2" s="2891"/>
      <c r="G2" s="1173" t="s">
        <v>510</v>
      </c>
      <c r="H2" s="1166" t="s">
        <v>510</v>
      </c>
      <c r="I2" s="1002" t="s">
        <v>87</v>
      </c>
      <c r="J2" s="1002" t="s">
        <v>87</v>
      </c>
      <c r="K2" s="2870" t="s">
        <v>509</v>
      </c>
      <c r="L2" s="2870"/>
      <c r="M2" s="2870" t="s">
        <v>508</v>
      </c>
      <c r="N2" s="2870"/>
      <c r="O2" s="1003" t="s">
        <v>952</v>
      </c>
      <c r="P2" s="1546" t="s">
        <v>952</v>
      </c>
      <c r="Q2" s="2901" t="s">
        <v>183</v>
      </c>
      <c r="R2" s="2902"/>
      <c r="S2" s="2892" t="s">
        <v>725</v>
      </c>
      <c r="T2" s="2875"/>
      <c r="U2" s="2875" t="s">
        <v>726</v>
      </c>
      <c r="V2" s="2878"/>
    </row>
    <row r="3" spans="1:22" s="5" customFormat="1" ht="15" customHeight="1" thickBot="1">
      <c r="A3" s="2940"/>
      <c r="B3" s="2941"/>
      <c r="C3" s="777" t="s">
        <v>966</v>
      </c>
      <c r="D3" s="453" t="s">
        <v>966</v>
      </c>
      <c r="E3" s="768" t="s">
        <v>435</v>
      </c>
      <c r="F3" s="307" t="s">
        <v>966</v>
      </c>
      <c r="G3" s="571" t="s">
        <v>435</v>
      </c>
      <c r="H3" s="240" t="s">
        <v>966</v>
      </c>
      <c r="I3" s="1005" t="s">
        <v>435</v>
      </c>
      <c r="J3" s="1005" t="s">
        <v>966</v>
      </c>
      <c r="K3" s="241" t="s">
        <v>435</v>
      </c>
      <c r="L3" s="241" t="s">
        <v>966</v>
      </c>
      <c r="M3" s="241" t="s">
        <v>435</v>
      </c>
      <c r="N3" s="241" t="s">
        <v>966</v>
      </c>
      <c r="O3" s="1006" t="s">
        <v>435</v>
      </c>
      <c r="P3" s="1547" t="s">
        <v>966</v>
      </c>
      <c r="Q3" s="240" t="s">
        <v>435</v>
      </c>
      <c r="R3" s="981" t="s">
        <v>966</v>
      </c>
      <c r="S3" s="797" t="s">
        <v>435</v>
      </c>
      <c r="T3" s="241" t="s">
        <v>966</v>
      </c>
      <c r="U3" s="241" t="s">
        <v>435</v>
      </c>
      <c r="V3" s="796" t="s">
        <v>966</v>
      </c>
    </row>
    <row r="4" spans="1:22" s="21" customFormat="1" ht="19.5" customHeight="1">
      <c r="A4" s="93" t="s">
        <v>352</v>
      </c>
      <c r="B4" s="943" t="s">
        <v>988</v>
      </c>
      <c r="C4" s="935">
        <f aca="true" t="shared" si="0" ref="C4:V4">C5+C26+C68</f>
        <v>59353</v>
      </c>
      <c r="D4" s="2629">
        <f t="shared" si="0"/>
        <v>80109</v>
      </c>
      <c r="E4" s="2640">
        <f t="shared" si="0"/>
        <v>3478729</v>
      </c>
      <c r="F4" s="2641">
        <f t="shared" si="0"/>
        <v>104800.12437000002</v>
      </c>
      <c r="G4" s="607">
        <f t="shared" si="0"/>
        <v>2866980</v>
      </c>
      <c r="H4" s="618">
        <f t="shared" si="0"/>
        <v>86370.42528</v>
      </c>
      <c r="I4" s="619">
        <f t="shared" si="0"/>
        <v>2707469</v>
      </c>
      <c r="J4" s="619">
        <f t="shared" si="0"/>
        <v>81565.21109400001</v>
      </c>
      <c r="K4" s="619">
        <f t="shared" si="0"/>
        <v>3207736</v>
      </c>
      <c r="L4" s="619">
        <f t="shared" si="0"/>
        <v>96636.254736</v>
      </c>
      <c r="M4" s="619">
        <f t="shared" si="0"/>
        <v>3679433</v>
      </c>
      <c r="N4" s="619">
        <f t="shared" si="0"/>
        <v>110846.598558</v>
      </c>
      <c r="O4" s="619">
        <f t="shared" si="0"/>
        <v>2561989</v>
      </c>
      <c r="P4" s="1626">
        <f t="shared" si="0"/>
        <v>77182.48061400001</v>
      </c>
      <c r="Q4" s="618">
        <f t="shared" si="0"/>
        <v>3112811</v>
      </c>
      <c r="R4" s="2676">
        <f t="shared" si="0"/>
        <v>93776.54418600001</v>
      </c>
      <c r="S4" s="2656">
        <f t="shared" si="0"/>
        <v>3112811</v>
      </c>
      <c r="T4" s="619">
        <f t="shared" si="0"/>
        <v>93776.544186</v>
      </c>
      <c r="U4" s="619">
        <f t="shared" si="0"/>
        <v>3112811</v>
      </c>
      <c r="V4" s="620">
        <f t="shared" si="0"/>
        <v>93776.544186</v>
      </c>
    </row>
    <row r="5" spans="1:22" s="1" customFormat="1" ht="19.5" customHeight="1">
      <c r="A5" s="94" t="s">
        <v>749</v>
      </c>
      <c r="B5" s="894" t="s">
        <v>928</v>
      </c>
      <c r="C5" s="936">
        <f>C6</f>
        <v>3013</v>
      </c>
      <c r="D5" s="2630">
        <f>D6</f>
        <v>7059</v>
      </c>
      <c r="E5" s="2577">
        <f>E6</f>
        <v>257139</v>
      </c>
      <c r="F5" s="2578">
        <f>F6</f>
        <v>7746.569514</v>
      </c>
      <c r="G5" s="911">
        <f aca="true" t="shared" si="1" ref="G5:V5">G6</f>
        <v>236038</v>
      </c>
      <c r="H5" s="912">
        <f t="shared" si="1"/>
        <v>7110.880788</v>
      </c>
      <c r="I5" s="91">
        <f t="shared" si="1"/>
        <v>181321</v>
      </c>
      <c r="J5" s="91">
        <f t="shared" si="1"/>
        <v>5462.476446000001</v>
      </c>
      <c r="K5" s="91">
        <f t="shared" si="1"/>
        <v>253315</v>
      </c>
      <c r="L5" s="91">
        <f t="shared" si="1"/>
        <v>7631.36769</v>
      </c>
      <c r="M5" s="91">
        <f t="shared" si="1"/>
        <v>259945</v>
      </c>
      <c r="N5" s="91">
        <f t="shared" si="1"/>
        <v>7831.103070000001</v>
      </c>
      <c r="O5" s="91">
        <f t="shared" si="1"/>
        <v>181321</v>
      </c>
      <c r="P5" s="1627">
        <f t="shared" si="1"/>
        <v>5462.476446000001</v>
      </c>
      <c r="Q5" s="912">
        <f t="shared" si="1"/>
        <v>250069</v>
      </c>
      <c r="R5" s="2677">
        <f t="shared" si="1"/>
        <v>7533.578694</v>
      </c>
      <c r="S5" s="2601">
        <f t="shared" si="1"/>
        <v>250069</v>
      </c>
      <c r="T5" s="91">
        <f t="shared" si="1"/>
        <v>7533.578694</v>
      </c>
      <c r="U5" s="91">
        <f t="shared" si="1"/>
        <v>250069</v>
      </c>
      <c r="V5" s="621">
        <f t="shared" si="1"/>
        <v>7533.578694</v>
      </c>
    </row>
    <row r="6" spans="1:22" s="1" customFormat="1" ht="19.5" customHeight="1">
      <c r="A6" s="95" t="s">
        <v>482</v>
      </c>
      <c r="B6" s="895" t="s">
        <v>965</v>
      </c>
      <c r="C6" s="937">
        <f aca="true" t="shared" si="2" ref="C6:R6">C7+C23+C24+C25+C13+C16</f>
        <v>3013</v>
      </c>
      <c r="D6" s="2631">
        <f t="shared" si="2"/>
        <v>7059</v>
      </c>
      <c r="E6" s="2579">
        <f t="shared" si="2"/>
        <v>257139</v>
      </c>
      <c r="F6" s="2580">
        <f t="shared" si="2"/>
        <v>7746.569514</v>
      </c>
      <c r="G6" s="608">
        <f t="shared" si="2"/>
        <v>236038</v>
      </c>
      <c r="H6" s="622">
        <f t="shared" si="2"/>
        <v>7110.880788</v>
      </c>
      <c r="I6" s="623">
        <f t="shared" si="2"/>
        <v>181321</v>
      </c>
      <c r="J6" s="623">
        <f t="shared" si="2"/>
        <v>5462.476446000001</v>
      </c>
      <c r="K6" s="623">
        <f t="shared" si="2"/>
        <v>253315</v>
      </c>
      <c r="L6" s="623">
        <f t="shared" si="2"/>
        <v>7631.36769</v>
      </c>
      <c r="M6" s="623">
        <f t="shared" si="2"/>
        <v>259945</v>
      </c>
      <c r="N6" s="623">
        <f t="shared" si="2"/>
        <v>7831.103070000001</v>
      </c>
      <c r="O6" s="623">
        <f t="shared" si="2"/>
        <v>181321</v>
      </c>
      <c r="P6" s="1628">
        <f t="shared" si="2"/>
        <v>5462.476446000001</v>
      </c>
      <c r="Q6" s="622">
        <f t="shared" si="2"/>
        <v>250069</v>
      </c>
      <c r="R6" s="2678">
        <f t="shared" si="2"/>
        <v>7533.578694</v>
      </c>
      <c r="S6" s="2602">
        <v>250069</v>
      </c>
      <c r="T6" s="623">
        <f>S6*30.126/1000</f>
        <v>7533.578694</v>
      </c>
      <c r="U6" s="623">
        <v>250069</v>
      </c>
      <c r="V6" s="624">
        <f>U6*30.126/1000</f>
        <v>7533.578694</v>
      </c>
    </row>
    <row r="7" spans="1:22" ht="15" customHeight="1">
      <c r="A7" s="96" t="s">
        <v>483</v>
      </c>
      <c r="B7" s="944" t="s">
        <v>907</v>
      </c>
      <c r="C7" s="938">
        <f aca="true" t="shared" si="3" ref="C7:N7">SUM(C8:C12)</f>
        <v>1192</v>
      </c>
      <c r="D7" s="2632">
        <f t="shared" si="3"/>
        <v>1156</v>
      </c>
      <c r="E7" s="2370">
        <f t="shared" si="3"/>
        <v>67449</v>
      </c>
      <c r="F7" s="2480">
        <f t="shared" si="3"/>
        <v>2031.968574</v>
      </c>
      <c r="G7" s="610">
        <f t="shared" si="3"/>
        <v>91505</v>
      </c>
      <c r="H7" s="625">
        <f t="shared" si="3"/>
        <v>2756.67963</v>
      </c>
      <c r="I7" s="626">
        <f t="shared" si="3"/>
        <v>88000</v>
      </c>
      <c r="J7" s="626">
        <f t="shared" si="3"/>
        <v>2651.088</v>
      </c>
      <c r="K7" s="626">
        <f t="shared" si="3"/>
        <v>108682</v>
      </c>
      <c r="L7" s="626">
        <f t="shared" si="3"/>
        <v>3274.153932</v>
      </c>
      <c r="M7" s="626">
        <f t="shared" si="3"/>
        <v>115312</v>
      </c>
      <c r="N7" s="626">
        <f t="shared" si="3"/>
        <v>3473.8893120000002</v>
      </c>
      <c r="O7" s="626">
        <f>SUM(O8:O12)</f>
        <v>88000</v>
      </c>
      <c r="P7" s="1629">
        <f>SUM(P8:P12)</f>
        <v>2651.088</v>
      </c>
      <c r="Q7" s="1637">
        <f>SUM(Q8:Q12)</f>
        <v>88000</v>
      </c>
      <c r="R7" s="2679">
        <f>SUM(R8:R12)</f>
        <v>2651.088</v>
      </c>
      <c r="S7" s="2657"/>
      <c r="T7" s="626"/>
      <c r="U7" s="626"/>
      <c r="V7" s="627"/>
    </row>
    <row r="8" spans="1:22" ht="15" customHeight="1">
      <c r="A8" s="97"/>
      <c r="B8" s="945" t="s">
        <v>931</v>
      </c>
      <c r="C8" s="803">
        <v>456</v>
      </c>
      <c r="D8" s="1524">
        <v>418</v>
      </c>
      <c r="E8" s="772">
        <v>21576</v>
      </c>
      <c r="F8" s="139">
        <f>(E8*30.126)/1000</f>
        <v>649.998576</v>
      </c>
      <c r="G8" s="446">
        <v>24505</v>
      </c>
      <c r="H8" s="354">
        <f>G8*30.126/1000</f>
        <v>738.23763</v>
      </c>
      <c r="I8" s="249">
        <v>22000</v>
      </c>
      <c r="J8" s="249">
        <f>I8*30.126/1000</f>
        <v>662.772</v>
      </c>
      <c r="K8" s="249">
        <v>26182</v>
      </c>
      <c r="L8" s="249">
        <f>K8*30.126/1000</f>
        <v>788.7589320000001</v>
      </c>
      <c r="M8" s="249">
        <v>28812</v>
      </c>
      <c r="N8" s="249">
        <f>M8*30.126/1000</f>
        <v>867.990312</v>
      </c>
      <c r="O8" s="249">
        <v>22000</v>
      </c>
      <c r="P8" s="1553">
        <f>O8*30.126/1000</f>
        <v>662.772</v>
      </c>
      <c r="Q8" s="985">
        <v>22000</v>
      </c>
      <c r="R8" s="986">
        <f>Q8*30.126/1000</f>
        <v>662.772</v>
      </c>
      <c r="S8" s="2291"/>
      <c r="T8" s="249"/>
      <c r="U8" s="249"/>
      <c r="V8" s="304"/>
    </row>
    <row r="9" spans="1:22" ht="15" customHeight="1">
      <c r="A9" s="98"/>
      <c r="B9" s="945" t="s">
        <v>932</v>
      </c>
      <c r="C9" s="803">
        <v>567</v>
      </c>
      <c r="D9" s="1524">
        <v>525</v>
      </c>
      <c r="E9" s="772">
        <v>24895</v>
      </c>
      <c r="F9" s="139">
        <f>(E9*30.126)/1000</f>
        <v>749.98677</v>
      </c>
      <c r="G9" s="446">
        <v>25000</v>
      </c>
      <c r="H9" s="354">
        <f>G9*30.126/1000</f>
        <v>753.15</v>
      </c>
      <c r="I9" s="249">
        <v>25000</v>
      </c>
      <c r="J9" s="249">
        <f>I9*30.126/1000</f>
        <v>753.15</v>
      </c>
      <c r="K9" s="249">
        <v>26500</v>
      </c>
      <c r="L9" s="249">
        <f>K9*30.126/1000</f>
        <v>798.339</v>
      </c>
      <c r="M9" s="249">
        <v>30000</v>
      </c>
      <c r="N9" s="249">
        <f>M9*30.126/1000</f>
        <v>903.78</v>
      </c>
      <c r="O9" s="249">
        <v>25000</v>
      </c>
      <c r="P9" s="1553">
        <f>O9*30.126/1000</f>
        <v>753.15</v>
      </c>
      <c r="Q9" s="985">
        <v>25000</v>
      </c>
      <c r="R9" s="986">
        <f>Q9*30.126/1000</f>
        <v>753.15</v>
      </c>
      <c r="S9" s="2291"/>
      <c r="T9" s="249"/>
      <c r="U9" s="249"/>
      <c r="V9" s="304"/>
    </row>
    <row r="10" spans="1:22" ht="15" customHeight="1">
      <c r="A10" s="98"/>
      <c r="B10" s="945" t="s">
        <v>933</v>
      </c>
      <c r="C10" s="803">
        <v>166</v>
      </c>
      <c r="D10" s="1524">
        <v>93</v>
      </c>
      <c r="E10" s="772">
        <v>4979</v>
      </c>
      <c r="F10" s="139">
        <f>(E10*30.126)/1000</f>
        <v>149.997354</v>
      </c>
      <c r="G10" s="446">
        <v>6000</v>
      </c>
      <c r="H10" s="354">
        <f>G10*30.126/1000</f>
        <v>180.756</v>
      </c>
      <c r="I10" s="249">
        <v>5000</v>
      </c>
      <c r="J10" s="249">
        <f>I10*30.126/1000</f>
        <v>150.63</v>
      </c>
      <c r="K10" s="249">
        <v>6000</v>
      </c>
      <c r="L10" s="249">
        <f>K10*30.126/1000</f>
        <v>180.756</v>
      </c>
      <c r="M10" s="249">
        <v>6500</v>
      </c>
      <c r="N10" s="249">
        <f>M10*30.126/1000</f>
        <v>195.819</v>
      </c>
      <c r="O10" s="249">
        <v>5000</v>
      </c>
      <c r="P10" s="1553">
        <f>O10*30.126/1000</f>
        <v>150.63</v>
      </c>
      <c r="Q10" s="985">
        <v>5000</v>
      </c>
      <c r="R10" s="986">
        <f>Q10*30.126/1000</f>
        <v>150.63</v>
      </c>
      <c r="S10" s="2291"/>
      <c r="T10" s="249"/>
      <c r="U10" s="249"/>
      <c r="V10" s="304"/>
    </row>
    <row r="11" spans="1:22" ht="15" customHeight="1">
      <c r="A11" s="99"/>
      <c r="B11" s="945" t="s">
        <v>230</v>
      </c>
      <c r="C11" s="803">
        <v>3</v>
      </c>
      <c r="D11" s="1524"/>
      <c r="E11" s="772">
        <v>15999</v>
      </c>
      <c r="F11" s="139">
        <f>(E11*30.126)/1000</f>
        <v>481.985874</v>
      </c>
      <c r="G11" s="446">
        <v>36000</v>
      </c>
      <c r="H11" s="354">
        <f>G11*30.126/1000</f>
        <v>1084.536</v>
      </c>
      <c r="I11" s="249">
        <v>36000</v>
      </c>
      <c r="J11" s="249">
        <f>I11*30.126/1000</f>
        <v>1084.536</v>
      </c>
      <c r="K11" s="249">
        <v>50000</v>
      </c>
      <c r="L11" s="249">
        <f>K11*30.126/1000</f>
        <v>1506.3</v>
      </c>
      <c r="M11" s="249">
        <v>50000</v>
      </c>
      <c r="N11" s="249">
        <f>M11*30.126/1000</f>
        <v>1506.3</v>
      </c>
      <c r="O11" s="249">
        <v>36000</v>
      </c>
      <c r="P11" s="1553">
        <f>O11*30.126/1000</f>
        <v>1084.536</v>
      </c>
      <c r="Q11" s="985">
        <v>36000</v>
      </c>
      <c r="R11" s="986">
        <f>Q11*30.126/1000</f>
        <v>1084.536</v>
      </c>
      <c r="S11" s="2291"/>
      <c r="T11" s="249"/>
      <c r="U11" s="249"/>
      <c r="V11" s="304"/>
    </row>
    <row r="12" spans="1:22" ht="15" customHeight="1" hidden="1">
      <c r="A12" s="99"/>
      <c r="B12" s="945" t="s">
        <v>908</v>
      </c>
      <c r="C12" s="803"/>
      <c r="D12" s="1524">
        <v>120</v>
      </c>
      <c r="E12" s="772"/>
      <c r="F12" s="139"/>
      <c r="G12" s="446"/>
      <c r="H12" s="354"/>
      <c r="I12" s="249"/>
      <c r="J12" s="249"/>
      <c r="K12" s="249"/>
      <c r="L12" s="249"/>
      <c r="M12" s="249"/>
      <c r="N12" s="249"/>
      <c r="O12" s="249"/>
      <c r="P12" s="1553"/>
      <c r="Q12" s="985"/>
      <c r="R12" s="986"/>
      <c r="S12" s="2291"/>
      <c r="T12" s="249"/>
      <c r="U12" s="249"/>
      <c r="V12" s="304"/>
    </row>
    <row r="13" spans="1:22" ht="15" customHeight="1">
      <c r="A13" s="100" t="s">
        <v>484</v>
      </c>
      <c r="B13" s="946" t="s">
        <v>968</v>
      </c>
      <c r="C13" s="939">
        <f aca="true" t="shared" si="4" ref="C13:N13">SUM(C14:C15)</f>
        <v>572</v>
      </c>
      <c r="D13" s="2633">
        <f t="shared" si="4"/>
        <v>699</v>
      </c>
      <c r="E13" s="2413">
        <f>SUM(E14:E15)</f>
        <v>19700</v>
      </c>
      <c r="F13" s="191">
        <f>SUM(F14:F15)</f>
        <v>593.4821999999999</v>
      </c>
      <c r="G13" s="532">
        <f t="shared" si="4"/>
        <v>19900</v>
      </c>
      <c r="H13" s="512">
        <f t="shared" si="4"/>
        <v>599.5074</v>
      </c>
      <c r="I13" s="289">
        <f t="shared" si="4"/>
        <v>13500</v>
      </c>
      <c r="J13" s="289">
        <f t="shared" si="4"/>
        <v>406.701</v>
      </c>
      <c r="K13" s="289">
        <f t="shared" si="4"/>
        <v>20000</v>
      </c>
      <c r="L13" s="289">
        <f t="shared" si="4"/>
        <v>602.52</v>
      </c>
      <c r="M13" s="289">
        <f t="shared" si="4"/>
        <v>20000</v>
      </c>
      <c r="N13" s="289">
        <f t="shared" si="4"/>
        <v>602.52</v>
      </c>
      <c r="O13" s="289">
        <f>SUM(O14:O15)</f>
        <v>13500</v>
      </c>
      <c r="P13" s="1552">
        <f>SUM(P14:P15)</f>
        <v>406.701</v>
      </c>
      <c r="Q13" s="90">
        <f>SUM(Q14:Q15)</f>
        <v>13500</v>
      </c>
      <c r="R13" s="2680">
        <f>SUM(R14:R15)</f>
        <v>406.701</v>
      </c>
      <c r="S13" s="2658"/>
      <c r="T13" s="289"/>
      <c r="U13" s="289"/>
      <c r="V13" s="513"/>
    </row>
    <row r="14" spans="1:22" ht="15" customHeight="1">
      <c r="A14" s="101"/>
      <c r="B14" s="945" t="s">
        <v>934</v>
      </c>
      <c r="C14" s="803">
        <v>392</v>
      </c>
      <c r="D14" s="1524">
        <v>519</v>
      </c>
      <c r="E14" s="772">
        <v>13278</v>
      </c>
      <c r="F14" s="139">
        <f>(E14*30.126)/1000</f>
        <v>400.01302799999996</v>
      </c>
      <c r="G14" s="446">
        <v>13500</v>
      </c>
      <c r="H14" s="354">
        <f>G14*30.126/1000</f>
        <v>406.701</v>
      </c>
      <c r="I14" s="249">
        <v>13500</v>
      </c>
      <c r="J14" s="249">
        <f>I14*30.126/1000</f>
        <v>406.701</v>
      </c>
      <c r="K14" s="249">
        <v>13500</v>
      </c>
      <c r="L14" s="249">
        <f aca="true" t="shared" si="5" ref="L14:N15">K14*30.126/1000</f>
        <v>406.701</v>
      </c>
      <c r="M14" s="249">
        <v>13500</v>
      </c>
      <c r="N14" s="249">
        <f t="shared" si="5"/>
        <v>406.701</v>
      </c>
      <c r="O14" s="249">
        <v>13500</v>
      </c>
      <c r="P14" s="1553">
        <f>O14*30.126/1000</f>
        <v>406.701</v>
      </c>
      <c r="Q14" s="985">
        <v>13500</v>
      </c>
      <c r="R14" s="986">
        <f>Q14*30.126/1000</f>
        <v>406.701</v>
      </c>
      <c r="S14" s="2291"/>
      <c r="T14" s="249"/>
      <c r="U14" s="249"/>
      <c r="V14" s="304"/>
    </row>
    <row r="15" spans="1:22" ht="15" customHeight="1">
      <c r="A15" s="101"/>
      <c r="B15" s="945" t="s">
        <v>935</v>
      </c>
      <c r="C15" s="803">
        <v>180</v>
      </c>
      <c r="D15" s="1524">
        <v>180</v>
      </c>
      <c r="E15" s="772">
        <v>6422</v>
      </c>
      <c r="F15" s="139">
        <f>(E15*30.126)/1000</f>
        <v>193.46917200000001</v>
      </c>
      <c r="G15" s="446">
        <v>6400</v>
      </c>
      <c r="H15" s="354">
        <f>G15*30.126/1000</f>
        <v>192.8064</v>
      </c>
      <c r="I15" s="249"/>
      <c r="J15" s="249"/>
      <c r="K15" s="249">
        <v>6500</v>
      </c>
      <c r="L15" s="249">
        <f t="shared" si="5"/>
        <v>195.819</v>
      </c>
      <c r="M15" s="249">
        <v>6500</v>
      </c>
      <c r="N15" s="249">
        <f t="shared" si="5"/>
        <v>195.819</v>
      </c>
      <c r="O15" s="249"/>
      <c r="P15" s="1553"/>
      <c r="Q15" s="985"/>
      <c r="R15" s="986"/>
      <c r="S15" s="2291"/>
      <c r="T15" s="249"/>
      <c r="U15" s="249"/>
      <c r="V15" s="304"/>
    </row>
    <row r="16" spans="1:22" ht="15" customHeight="1">
      <c r="A16" s="100" t="s">
        <v>485</v>
      </c>
      <c r="B16" s="947" t="s">
        <v>990</v>
      </c>
      <c r="C16" s="803">
        <f aca="true" t="shared" si="6" ref="C16:N16">SUM(C17:C22)</f>
        <v>1249</v>
      </c>
      <c r="D16" s="1524">
        <f t="shared" si="6"/>
        <v>5204</v>
      </c>
      <c r="E16" s="2371">
        <f t="shared" si="6"/>
        <v>99582</v>
      </c>
      <c r="F16" s="227">
        <f t="shared" si="6"/>
        <v>3000.007332</v>
      </c>
      <c r="G16" s="563">
        <f t="shared" si="6"/>
        <v>121133</v>
      </c>
      <c r="H16" s="569">
        <f t="shared" si="6"/>
        <v>3649.252758</v>
      </c>
      <c r="I16" s="257">
        <f t="shared" si="6"/>
        <v>76321</v>
      </c>
      <c r="J16" s="257">
        <f t="shared" si="6"/>
        <v>2299.246446</v>
      </c>
      <c r="K16" s="257">
        <f t="shared" si="6"/>
        <v>121133</v>
      </c>
      <c r="L16" s="257">
        <f t="shared" si="6"/>
        <v>3649.252758</v>
      </c>
      <c r="M16" s="257">
        <f t="shared" si="6"/>
        <v>121133</v>
      </c>
      <c r="N16" s="257">
        <f t="shared" si="6"/>
        <v>3649.252758</v>
      </c>
      <c r="O16" s="257">
        <f>SUM(O17:O22)</f>
        <v>76321</v>
      </c>
      <c r="P16" s="1576">
        <f>SUM(P17:P22)</f>
        <v>2299.246446</v>
      </c>
      <c r="Q16" s="428">
        <f>SUM(Q17:Q22)</f>
        <v>76321</v>
      </c>
      <c r="R16" s="429">
        <f>SUM(R17:R22)</f>
        <v>2299.246446</v>
      </c>
      <c r="S16" s="2246"/>
      <c r="T16" s="257"/>
      <c r="U16" s="257"/>
      <c r="V16" s="311"/>
    </row>
    <row r="17" spans="1:22" ht="15" customHeight="1">
      <c r="A17" s="102"/>
      <c r="B17" s="945" t="s">
        <v>940</v>
      </c>
      <c r="C17" s="803">
        <v>200</v>
      </c>
      <c r="D17" s="1524">
        <v>255</v>
      </c>
      <c r="E17" s="772">
        <v>6639</v>
      </c>
      <c r="F17" s="139">
        <f>(E17*30.126)/1000</f>
        <v>200.00651399999998</v>
      </c>
      <c r="G17" s="446">
        <v>6630</v>
      </c>
      <c r="H17" s="354">
        <f>G17*30.126/1000</f>
        <v>199.73538</v>
      </c>
      <c r="I17" s="249">
        <v>6630</v>
      </c>
      <c r="J17" s="249">
        <f>I17*30.126/1000</f>
        <v>199.73538</v>
      </c>
      <c r="K17" s="249">
        <v>6630</v>
      </c>
      <c r="L17" s="249">
        <f>K17*30.126/1000</f>
        <v>199.73538</v>
      </c>
      <c r="M17" s="249">
        <v>6630</v>
      </c>
      <c r="N17" s="249">
        <f>M17*30.126/1000</f>
        <v>199.73538</v>
      </c>
      <c r="O17" s="249">
        <v>6630</v>
      </c>
      <c r="P17" s="1553">
        <f>O17*30.126/1000</f>
        <v>199.73538</v>
      </c>
      <c r="Q17" s="985">
        <v>6630</v>
      </c>
      <c r="R17" s="986">
        <f>Q17*30.126/1000</f>
        <v>199.73538</v>
      </c>
      <c r="S17" s="2291"/>
      <c r="T17" s="249"/>
      <c r="U17" s="249"/>
      <c r="V17" s="304"/>
    </row>
    <row r="18" spans="1:22" ht="15" customHeight="1">
      <c r="A18" s="102"/>
      <c r="B18" s="945" t="s">
        <v>941</v>
      </c>
      <c r="C18" s="803">
        <v>249</v>
      </c>
      <c r="D18" s="1524">
        <v>349</v>
      </c>
      <c r="E18" s="772">
        <v>11618</v>
      </c>
      <c r="F18" s="139">
        <f aca="true" t="shared" si="7" ref="F18:F25">(E18*30.126)/1000</f>
        <v>350.003868</v>
      </c>
      <c r="G18" s="446">
        <v>11600</v>
      </c>
      <c r="H18" s="354">
        <f aca="true" t="shared" si="8" ref="H18:H25">G18*30.126/1000</f>
        <v>349.46160000000003</v>
      </c>
      <c r="I18" s="249">
        <v>11600</v>
      </c>
      <c r="J18" s="249">
        <f aca="true" t="shared" si="9" ref="J18:J25">I18*30.126/1000</f>
        <v>349.46160000000003</v>
      </c>
      <c r="K18" s="249">
        <v>11600</v>
      </c>
      <c r="L18" s="249">
        <f aca="true" t="shared" si="10" ref="L18:L25">K18*30.126/1000</f>
        <v>349.46160000000003</v>
      </c>
      <c r="M18" s="249">
        <v>11600</v>
      </c>
      <c r="N18" s="249">
        <f aca="true" t="shared" si="11" ref="N18:N25">M18*30.126/1000</f>
        <v>349.46160000000003</v>
      </c>
      <c r="O18" s="249">
        <v>11600</v>
      </c>
      <c r="P18" s="1553">
        <f aca="true" t="shared" si="12" ref="P18:R25">O18*30.126/1000</f>
        <v>349.46160000000003</v>
      </c>
      <c r="Q18" s="985">
        <v>11600</v>
      </c>
      <c r="R18" s="986">
        <f t="shared" si="12"/>
        <v>349.46160000000003</v>
      </c>
      <c r="S18" s="2291"/>
      <c r="T18" s="249"/>
      <c r="U18" s="249"/>
      <c r="V18" s="304"/>
    </row>
    <row r="19" spans="1:22" ht="15" customHeight="1">
      <c r="A19" s="102"/>
      <c r="B19" s="945" t="s">
        <v>942</v>
      </c>
      <c r="C19" s="803">
        <v>800</v>
      </c>
      <c r="D19" s="1524">
        <v>2700</v>
      </c>
      <c r="E19" s="772">
        <v>18257</v>
      </c>
      <c r="F19" s="139">
        <f t="shared" si="7"/>
        <v>550.0103819999999</v>
      </c>
      <c r="G19" s="446">
        <v>39833</v>
      </c>
      <c r="H19" s="354">
        <f t="shared" si="8"/>
        <v>1200.0089580000001</v>
      </c>
      <c r="I19" s="249">
        <v>18257</v>
      </c>
      <c r="J19" s="249">
        <f t="shared" si="9"/>
        <v>550.0103819999999</v>
      </c>
      <c r="K19" s="249">
        <v>39833</v>
      </c>
      <c r="L19" s="249">
        <f t="shared" si="10"/>
        <v>1200.0089580000001</v>
      </c>
      <c r="M19" s="249">
        <v>39833</v>
      </c>
      <c r="N19" s="249">
        <f t="shared" si="11"/>
        <v>1200.0089580000001</v>
      </c>
      <c r="O19" s="249">
        <v>18257</v>
      </c>
      <c r="P19" s="1553">
        <f t="shared" si="12"/>
        <v>550.0103819999999</v>
      </c>
      <c r="Q19" s="985">
        <v>18257</v>
      </c>
      <c r="R19" s="986">
        <f t="shared" si="12"/>
        <v>550.0103819999999</v>
      </c>
      <c r="S19" s="2291"/>
      <c r="T19" s="249"/>
      <c r="U19" s="249"/>
      <c r="V19" s="304"/>
    </row>
    <row r="20" spans="1:22" ht="15" customHeight="1">
      <c r="A20" s="102"/>
      <c r="B20" s="945" t="s">
        <v>943</v>
      </c>
      <c r="C20" s="803"/>
      <c r="D20" s="1524">
        <v>100</v>
      </c>
      <c r="E20" s="772">
        <v>3319</v>
      </c>
      <c r="F20" s="139">
        <f t="shared" si="7"/>
        <v>99.98819400000001</v>
      </c>
      <c r="G20" s="446">
        <v>3320</v>
      </c>
      <c r="H20" s="354">
        <f t="shared" si="8"/>
        <v>100.01832</v>
      </c>
      <c r="I20" s="249">
        <v>3320</v>
      </c>
      <c r="J20" s="249">
        <f t="shared" si="9"/>
        <v>100.01832</v>
      </c>
      <c r="K20" s="249">
        <v>3320</v>
      </c>
      <c r="L20" s="249">
        <f t="shared" si="10"/>
        <v>100.01832</v>
      </c>
      <c r="M20" s="249">
        <v>3320</v>
      </c>
      <c r="N20" s="249">
        <f t="shared" si="11"/>
        <v>100.01832</v>
      </c>
      <c r="O20" s="249">
        <v>3320</v>
      </c>
      <c r="P20" s="1553">
        <f t="shared" si="12"/>
        <v>100.01832</v>
      </c>
      <c r="Q20" s="985">
        <v>3320</v>
      </c>
      <c r="R20" s="986">
        <f t="shared" si="12"/>
        <v>100.01832</v>
      </c>
      <c r="S20" s="2291"/>
      <c r="T20" s="249"/>
      <c r="U20" s="249"/>
      <c r="V20" s="304"/>
    </row>
    <row r="21" spans="1:22" ht="15" customHeight="1">
      <c r="A21" s="102"/>
      <c r="B21" s="945" t="s">
        <v>944</v>
      </c>
      <c r="C21" s="803"/>
      <c r="D21" s="1524">
        <v>100</v>
      </c>
      <c r="E21" s="772">
        <v>3319</v>
      </c>
      <c r="F21" s="139">
        <f t="shared" si="7"/>
        <v>99.98819400000001</v>
      </c>
      <c r="G21" s="446">
        <v>3320</v>
      </c>
      <c r="H21" s="354">
        <f t="shared" si="8"/>
        <v>100.01832</v>
      </c>
      <c r="I21" s="249">
        <v>3320</v>
      </c>
      <c r="J21" s="249">
        <f t="shared" si="9"/>
        <v>100.01832</v>
      </c>
      <c r="K21" s="249">
        <v>3320</v>
      </c>
      <c r="L21" s="249">
        <f t="shared" si="10"/>
        <v>100.01832</v>
      </c>
      <c r="M21" s="249">
        <v>3320</v>
      </c>
      <c r="N21" s="249">
        <f t="shared" si="11"/>
        <v>100.01832</v>
      </c>
      <c r="O21" s="249">
        <v>3320</v>
      </c>
      <c r="P21" s="1553">
        <f t="shared" si="12"/>
        <v>100.01832</v>
      </c>
      <c r="Q21" s="985">
        <v>3320</v>
      </c>
      <c r="R21" s="986">
        <f t="shared" si="12"/>
        <v>100.01832</v>
      </c>
      <c r="S21" s="2291"/>
      <c r="T21" s="249"/>
      <c r="U21" s="249"/>
      <c r="V21" s="304"/>
    </row>
    <row r="22" spans="1:22" ht="15" customHeight="1">
      <c r="A22" s="102"/>
      <c r="B22" s="948" t="s">
        <v>945</v>
      </c>
      <c r="C22" s="828"/>
      <c r="D22" s="2366">
        <v>1700</v>
      </c>
      <c r="E22" s="851">
        <v>56430</v>
      </c>
      <c r="F22" s="139">
        <f t="shared" si="7"/>
        <v>1700.0101800000002</v>
      </c>
      <c r="G22" s="611">
        <v>56430</v>
      </c>
      <c r="H22" s="354">
        <f t="shared" si="8"/>
        <v>1700.0101800000002</v>
      </c>
      <c r="I22" s="312">
        <v>33194</v>
      </c>
      <c r="J22" s="249">
        <f t="shared" si="9"/>
        <v>1000.002444</v>
      </c>
      <c r="K22" s="312">
        <v>56430</v>
      </c>
      <c r="L22" s="249">
        <f t="shared" si="10"/>
        <v>1700.0101800000002</v>
      </c>
      <c r="M22" s="312">
        <v>56430</v>
      </c>
      <c r="N22" s="249">
        <f t="shared" si="11"/>
        <v>1700.0101800000002</v>
      </c>
      <c r="O22" s="312">
        <v>33194</v>
      </c>
      <c r="P22" s="1553">
        <f t="shared" si="12"/>
        <v>1000.002444</v>
      </c>
      <c r="Q22" s="1569">
        <v>33194</v>
      </c>
      <c r="R22" s="986">
        <f t="shared" si="12"/>
        <v>1000.002444</v>
      </c>
      <c r="S22" s="2385"/>
      <c r="T22" s="249"/>
      <c r="U22" s="312"/>
      <c r="V22" s="304"/>
    </row>
    <row r="23" spans="1:22" ht="15" customHeight="1">
      <c r="A23" s="100" t="s">
        <v>486</v>
      </c>
      <c r="B23" s="949" t="s">
        <v>336</v>
      </c>
      <c r="C23" s="803"/>
      <c r="D23" s="1524"/>
      <c r="E23" s="772">
        <v>8999</v>
      </c>
      <c r="F23" s="139">
        <f t="shared" si="7"/>
        <v>271.103874</v>
      </c>
      <c r="G23" s="446"/>
      <c r="H23" s="354">
        <f t="shared" si="8"/>
        <v>0</v>
      </c>
      <c r="I23" s="249"/>
      <c r="J23" s="249">
        <f t="shared" si="9"/>
        <v>0</v>
      </c>
      <c r="K23" s="249"/>
      <c r="L23" s="249">
        <f t="shared" si="10"/>
        <v>0</v>
      </c>
      <c r="M23" s="249"/>
      <c r="N23" s="249">
        <f t="shared" si="11"/>
        <v>0</v>
      </c>
      <c r="O23" s="249"/>
      <c r="P23" s="1553">
        <f t="shared" si="12"/>
        <v>0</v>
      </c>
      <c r="Q23" s="985">
        <v>8999</v>
      </c>
      <c r="R23" s="986">
        <f t="shared" si="12"/>
        <v>271.103874</v>
      </c>
      <c r="S23" s="2291"/>
      <c r="T23" s="249"/>
      <c r="U23" s="249"/>
      <c r="V23" s="304"/>
    </row>
    <row r="24" spans="1:22" ht="15" customHeight="1">
      <c r="A24" s="100" t="s">
        <v>487</v>
      </c>
      <c r="B24" s="949" t="s">
        <v>29</v>
      </c>
      <c r="C24" s="803"/>
      <c r="D24" s="1524"/>
      <c r="E24" s="772">
        <v>59749</v>
      </c>
      <c r="F24" s="139">
        <f t="shared" si="7"/>
        <v>1799.998374</v>
      </c>
      <c r="G24" s="446"/>
      <c r="H24" s="354">
        <f t="shared" si="8"/>
        <v>0</v>
      </c>
      <c r="I24" s="249"/>
      <c r="J24" s="249">
        <f t="shared" si="9"/>
        <v>0</v>
      </c>
      <c r="K24" s="249"/>
      <c r="L24" s="249">
        <f t="shared" si="10"/>
        <v>0</v>
      </c>
      <c r="M24" s="249"/>
      <c r="N24" s="249">
        <f t="shared" si="11"/>
        <v>0</v>
      </c>
      <c r="O24" s="249"/>
      <c r="P24" s="1553">
        <f t="shared" si="12"/>
        <v>0</v>
      </c>
      <c r="Q24" s="985">
        <v>59749</v>
      </c>
      <c r="R24" s="986">
        <f t="shared" si="12"/>
        <v>1799.998374</v>
      </c>
      <c r="S24" s="2291"/>
      <c r="T24" s="249"/>
      <c r="U24" s="249"/>
      <c r="V24" s="304"/>
    </row>
    <row r="25" spans="1:22" ht="15" customHeight="1">
      <c r="A25" s="100" t="s">
        <v>577</v>
      </c>
      <c r="B25" s="949" t="s">
        <v>578</v>
      </c>
      <c r="C25" s="803"/>
      <c r="D25" s="1524"/>
      <c r="E25" s="772">
        <v>1660</v>
      </c>
      <c r="F25" s="139">
        <f t="shared" si="7"/>
        <v>50.00916</v>
      </c>
      <c r="G25" s="446">
        <v>3500</v>
      </c>
      <c r="H25" s="354">
        <f t="shared" si="8"/>
        <v>105.441</v>
      </c>
      <c r="I25" s="249">
        <v>3500</v>
      </c>
      <c r="J25" s="249">
        <f t="shared" si="9"/>
        <v>105.441</v>
      </c>
      <c r="K25" s="249">
        <v>3500</v>
      </c>
      <c r="L25" s="249">
        <f t="shared" si="10"/>
        <v>105.441</v>
      </c>
      <c r="M25" s="249">
        <v>3500</v>
      </c>
      <c r="N25" s="249">
        <f t="shared" si="11"/>
        <v>105.441</v>
      </c>
      <c r="O25" s="249">
        <v>3500</v>
      </c>
      <c r="P25" s="1553">
        <f t="shared" si="12"/>
        <v>105.441</v>
      </c>
      <c r="Q25" s="985">
        <v>3500</v>
      </c>
      <c r="R25" s="986">
        <f t="shared" si="12"/>
        <v>105.441</v>
      </c>
      <c r="S25" s="2291"/>
      <c r="T25" s="249"/>
      <c r="U25" s="249"/>
      <c r="V25" s="304"/>
    </row>
    <row r="26" spans="1:22" s="1" customFormat="1" ht="19.5" customHeight="1">
      <c r="A26" s="94" t="s">
        <v>750</v>
      </c>
      <c r="B26" s="894" t="s">
        <v>929</v>
      </c>
      <c r="C26" s="936">
        <f aca="true" t="shared" si="13" ref="C26:V26">C27+C46</f>
        <v>55880</v>
      </c>
      <c r="D26" s="2630">
        <f t="shared" si="13"/>
        <v>72490</v>
      </c>
      <c r="E26" s="2577">
        <f t="shared" si="13"/>
        <v>3203696</v>
      </c>
      <c r="F26" s="2578">
        <f t="shared" si="13"/>
        <v>96514.54569600002</v>
      </c>
      <c r="G26" s="911">
        <f t="shared" si="13"/>
        <v>2611242</v>
      </c>
      <c r="H26" s="912">
        <f t="shared" si="13"/>
        <v>78666.276492</v>
      </c>
      <c r="I26" s="91">
        <f t="shared" si="13"/>
        <v>2508648</v>
      </c>
      <c r="J26" s="91">
        <f t="shared" si="13"/>
        <v>75575.52964800001</v>
      </c>
      <c r="K26" s="91">
        <f t="shared" si="13"/>
        <v>2936421</v>
      </c>
      <c r="L26" s="91">
        <f t="shared" si="13"/>
        <v>88462.619046</v>
      </c>
      <c r="M26" s="91">
        <f t="shared" si="13"/>
        <v>3401488</v>
      </c>
      <c r="N26" s="91">
        <f t="shared" si="13"/>
        <v>102473.227488</v>
      </c>
      <c r="O26" s="91">
        <f t="shared" si="13"/>
        <v>2363168</v>
      </c>
      <c r="P26" s="1627">
        <f t="shared" si="13"/>
        <v>71192.79916800001</v>
      </c>
      <c r="Q26" s="912">
        <f t="shared" si="13"/>
        <v>2845242</v>
      </c>
      <c r="R26" s="2677">
        <f t="shared" si="13"/>
        <v>85715.76049200002</v>
      </c>
      <c r="S26" s="2601">
        <f t="shared" si="13"/>
        <v>2845242</v>
      </c>
      <c r="T26" s="91">
        <f t="shared" si="13"/>
        <v>85715.760492</v>
      </c>
      <c r="U26" s="91">
        <f t="shared" si="13"/>
        <v>2845242</v>
      </c>
      <c r="V26" s="621">
        <f t="shared" si="13"/>
        <v>85715.760492</v>
      </c>
    </row>
    <row r="27" spans="1:22" s="1" customFormat="1" ht="19.5" customHeight="1">
      <c r="A27" s="95" t="s">
        <v>488</v>
      </c>
      <c r="B27" s="895" t="s">
        <v>965</v>
      </c>
      <c r="C27" s="937">
        <f aca="true" t="shared" si="14" ref="C27:N27">C28+C33</f>
        <v>51382</v>
      </c>
      <c r="D27" s="2631">
        <f t="shared" si="14"/>
        <v>61161</v>
      </c>
      <c r="E27" s="2579">
        <f>E28+E33+E45</f>
        <v>2864044</v>
      </c>
      <c r="F27" s="2580">
        <f>F28+F33+F45</f>
        <v>86282.18954400001</v>
      </c>
      <c r="G27" s="608">
        <f t="shared" si="14"/>
        <v>2440293</v>
      </c>
      <c r="H27" s="622">
        <f t="shared" si="14"/>
        <v>73516.26691800001</v>
      </c>
      <c r="I27" s="623">
        <f t="shared" si="14"/>
        <v>2370893</v>
      </c>
      <c r="J27" s="623">
        <f t="shared" si="14"/>
        <v>71425.52251800001</v>
      </c>
      <c r="K27" s="623">
        <f t="shared" si="14"/>
        <v>2768792</v>
      </c>
      <c r="L27" s="623">
        <f t="shared" si="14"/>
        <v>83412.627792</v>
      </c>
      <c r="M27" s="623">
        <f t="shared" si="14"/>
        <v>3159172</v>
      </c>
      <c r="N27" s="623">
        <f t="shared" si="14"/>
        <v>95173.215672</v>
      </c>
      <c r="O27" s="623">
        <f>O28+O33</f>
        <v>2225413</v>
      </c>
      <c r="P27" s="1628">
        <f>P28+P33</f>
        <v>67042.79203800001</v>
      </c>
      <c r="Q27" s="622">
        <f>Q28+Q33</f>
        <v>2707487</v>
      </c>
      <c r="R27" s="2678">
        <f>R28+R33</f>
        <v>81565.75336200002</v>
      </c>
      <c r="S27" s="2602">
        <v>2707487</v>
      </c>
      <c r="T27" s="623">
        <f>S27*30.126/1000</f>
        <v>81565.753362</v>
      </c>
      <c r="U27" s="623">
        <v>2707487</v>
      </c>
      <c r="V27" s="624">
        <f>U27*30.126/1000</f>
        <v>81565.753362</v>
      </c>
    </row>
    <row r="28" spans="1:22" s="13" customFormat="1" ht="15" customHeight="1">
      <c r="A28" s="96" t="s">
        <v>489</v>
      </c>
      <c r="B28" s="950" t="s">
        <v>950</v>
      </c>
      <c r="C28" s="863">
        <f aca="true" t="shared" si="15" ref="C28:N28">SUM(C29:C32)</f>
        <v>49352</v>
      </c>
      <c r="D28" s="2477">
        <f t="shared" si="15"/>
        <v>58521</v>
      </c>
      <c r="E28" s="2642">
        <f t="shared" si="15"/>
        <v>1770463</v>
      </c>
      <c r="F28" s="2643">
        <f t="shared" si="15"/>
        <v>53336.968338</v>
      </c>
      <c r="G28" s="612">
        <f t="shared" si="15"/>
        <v>1951117</v>
      </c>
      <c r="H28" s="628">
        <f t="shared" si="15"/>
        <v>58779.35074200001</v>
      </c>
      <c r="I28" s="629">
        <f t="shared" si="15"/>
        <v>1903817</v>
      </c>
      <c r="J28" s="629">
        <f t="shared" si="15"/>
        <v>57354.39094200001</v>
      </c>
      <c r="K28" s="629">
        <f t="shared" si="15"/>
        <v>2331592</v>
      </c>
      <c r="L28" s="629">
        <f t="shared" si="15"/>
        <v>70241.540592</v>
      </c>
      <c r="M28" s="629">
        <f t="shared" si="15"/>
        <v>2735672</v>
      </c>
      <c r="N28" s="629">
        <f t="shared" si="15"/>
        <v>82414.854672</v>
      </c>
      <c r="O28" s="629">
        <f>SUM(O29:O32)</f>
        <v>1835713</v>
      </c>
      <c r="P28" s="1630">
        <f>SUM(P29:P32)</f>
        <v>55302.689838000006</v>
      </c>
      <c r="Q28" s="1638">
        <f>SUM(Q29:Q32)</f>
        <v>1729295</v>
      </c>
      <c r="R28" s="2681">
        <f>SUM(R29:R32)</f>
        <v>52096.74117000001</v>
      </c>
      <c r="S28" s="2659"/>
      <c r="T28" s="629"/>
      <c r="U28" s="629"/>
      <c r="V28" s="630"/>
    </row>
    <row r="29" spans="1:22" ht="15" customHeight="1">
      <c r="A29" s="98"/>
      <c r="B29" s="945" t="s">
        <v>936</v>
      </c>
      <c r="C29" s="803">
        <v>38252</v>
      </c>
      <c r="D29" s="1524">
        <v>45951</v>
      </c>
      <c r="E29" s="772">
        <f>1384918-65560</f>
        <v>1319358</v>
      </c>
      <c r="F29" s="139">
        <f>(E29*30.126)/1000</f>
        <v>39746.979108</v>
      </c>
      <c r="G29" s="446">
        <v>1424915</v>
      </c>
      <c r="H29" s="354">
        <f>G29*30.126/1000</f>
        <v>42926.98929</v>
      </c>
      <c r="I29" s="249">
        <v>1377615</v>
      </c>
      <c r="J29" s="249">
        <f>I29*30.126/1000</f>
        <v>41502.02949</v>
      </c>
      <c r="K29" s="249">
        <v>1840755</v>
      </c>
      <c r="L29" s="249">
        <f>K29*30.126/1000</f>
        <v>55454.58513</v>
      </c>
      <c r="M29" s="249">
        <v>2206555</v>
      </c>
      <c r="N29" s="249">
        <f>M29*30.126/1000</f>
        <v>66474.67593</v>
      </c>
      <c r="O29" s="249">
        <v>1377615</v>
      </c>
      <c r="P29" s="1553">
        <f>O29*30.126/1000</f>
        <v>41502.02949</v>
      </c>
      <c r="Q29" s="985">
        <v>1298432</v>
      </c>
      <c r="R29" s="986">
        <f>Q29*30.126/1000</f>
        <v>39116.562432000006</v>
      </c>
      <c r="S29" s="2291"/>
      <c r="T29" s="249"/>
      <c r="U29" s="249"/>
      <c r="V29" s="304"/>
    </row>
    <row r="30" spans="1:22" s="384" customFormat="1" ht="15" customHeight="1" hidden="1">
      <c r="A30" s="383"/>
      <c r="B30" s="951" t="s">
        <v>1</v>
      </c>
      <c r="C30" s="940"/>
      <c r="D30" s="2634"/>
      <c r="E30" s="2644"/>
      <c r="F30" s="2645"/>
      <c r="G30" s="613">
        <v>27880</v>
      </c>
      <c r="H30" s="631">
        <f>G30*30.126/1000</f>
        <v>839.91288</v>
      </c>
      <c r="I30" s="632">
        <v>27880</v>
      </c>
      <c r="J30" s="632">
        <f>I30*30.126/1000</f>
        <v>839.91288</v>
      </c>
      <c r="K30" s="632"/>
      <c r="L30" s="249"/>
      <c r="M30" s="632"/>
      <c r="N30" s="249"/>
      <c r="O30" s="632"/>
      <c r="P30" s="1631"/>
      <c r="Q30" s="1639"/>
      <c r="R30" s="2682"/>
      <c r="S30" s="2660"/>
      <c r="T30" s="632"/>
      <c r="U30" s="632"/>
      <c r="V30" s="633"/>
    </row>
    <row r="31" spans="1:22" s="384" customFormat="1" ht="15" customHeight="1" hidden="1">
      <c r="A31" s="383"/>
      <c r="B31" s="951" t="s">
        <v>2</v>
      </c>
      <c r="C31" s="940"/>
      <c r="D31" s="2634"/>
      <c r="E31" s="2644"/>
      <c r="F31" s="2645"/>
      <c r="G31" s="613">
        <v>40224</v>
      </c>
      <c r="H31" s="631">
        <f>G31*30.126/1000</f>
        <v>1211.7882240000001</v>
      </c>
      <c r="I31" s="632">
        <v>40224</v>
      </c>
      <c r="J31" s="632">
        <f>I31*30.126/1000</f>
        <v>1211.7882240000001</v>
      </c>
      <c r="K31" s="632"/>
      <c r="L31" s="249"/>
      <c r="M31" s="632"/>
      <c r="N31" s="249"/>
      <c r="O31" s="632"/>
      <c r="P31" s="1631"/>
      <c r="Q31" s="1639"/>
      <c r="R31" s="2682"/>
      <c r="S31" s="2660"/>
      <c r="T31" s="632"/>
      <c r="U31" s="632"/>
      <c r="V31" s="633"/>
    </row>
    <row r="32" spans="1:22" ht="15" customHeight="1">
      <c r="A32" s="101"/>
      <c r="B32" s="945" t="s">
        <v>951</v>
      </c>
      <c r="C32" s="803">
        <v>11100</v>
      </c>
      <c r="D32" s="1524">
        <v>12570</v>
      </c>
      <c r="E32" s="772">
        <v>451105</v>
      </c>
      <c r="F32" s="139">
        <f>(E32*30.126)/1000</f>
        <v>13589.989230000001</v>
      </c>
      <c r="G32" s="446">
        <v>458098</v>
      </c>
      <c r="H32" s="354">
        <f>G32*30.126/1000</f>
        <v>13800.660348000001</v>
      </c>
      <c r="I32" s="249">
        <v>458098</v>
      </c>
      <c r="J32" s="249">
        <f>I32*30.126/1000</f>
        <v>13800.660348000001</v>
      </c>
      <c r="K32" s="249">
        <v>490837</v>
      </c>
      <c r="L32" s="249">
        <f>K32*30.126/1000</f>
        <v>14786.955462000002</v>
      </c>
      <c r="M32" s="249">
        <v>529117</v>
      </c>
      <c r="N32" s="249">
        <f>M32*30.126/1000</f>
        <v>15940.178742</v>
      </c>
      <c r="O32" s="249">
        <v>458098</v>
      </c>
      <c r="P32" s="1553">
        <f>O32*30.126/1000</f>
        <v>13800.660348000001</v>
      </c>
      <c r="Q32" s="985">
        <v>430863</v>
      </c>
      <c r="R32" s="986">
        <f>Q32*30.126/1000</f>
        <v>12980.178738</v>
      </c>
      <c r="S32" s="2291"/>
      <c r="T32" s="249"/>
      <c r="U32" s="249"/>
      <c r="V32" s="304"/>
    </row>
    <row r="33" spans="1:22" ht="15" customHeight="1">
      <c r="A33" s="100" t="s">
        <v>490</v>
      </c>
      <c r="B33" s="947" t="s">
        <v>231</v>
      </c>
      <c r="C33" s="803">
        <f>C34+C42+C43</f>
        <v>2030</v>
      </c>
      <c r="D33" s="1524">
        <f>D34+D42+D43</f>
        <v>2640</v>
      </c>
      <c r="E33" s="2412">
        <f>E34+E42+E43+E44</f>
        <v>1058251</v>
      </c>
      <c r="F33" s="324">
        <f>F34+F42+F43+F44</f>
        <v>31880.869626000003</v>
      </c>
      <c r="G33" s="614">
        <f aca="true" t="shared" si="16" ref="G33:P33">G34+G42+G43</f>
        <v>489176</v>
      </c>
      <c r="H33" s="634">
        <f t="shared" si="16"/>
        <v>14736.916175999999</v>
      </c>
      <c r="I33" s="326">
        <f t="shared" si="16"/>
        <v>467076</v>
      </c>
      <c r="J33" s="326">
        <f t="shared" si="16"/>
        <v>14071.131576</v>
      </c>
      <c r="K33" s="326">
        <f t="shared" si="16"/>
        <v>437200</v>
      </c>
      <c r="L33" s="326">
        <f t="shared" si="16"/>
        <v>13171.0872</v>
      </c>
      <c r="M33" s="326">
        <f t="shared" si="16"/>
        <v>423500</v>
      </c>
      <c r="N33" s="326">
        <f t="shared" si="16"/>
        <v>12758.361</v>
      </c>
      <c r="O33" s="326">
        <f t="shared" si="16"/>
        <v>389700</v>
      </c>
      <c r="P33" s="1632">
        <f t="shared" si="16"/>
        <v>11740.102200000001</v>
      </c>
      <c r="Q33" s="1640">
        <f>Q34+Q42+Q43+Q44</f>
        <v>978192</v>
      </c>
      <c r="R33" s="2683">
        <f>R34+R42+R43+R44</f>
        <v>29469.012192000002</v>
      </c>
      <c r="S33" s="2661"/>
      <c r="T33" s="326"/>
      <c r="U33" s="326"/>
      <c r="V33" s="635"/>
    </row>
    <row r="34" spans="1:22" ht="15" customHeight="1">
      <c r="A34" s="99"/>
      <c r="B34" s="945" t="s">
        <v>346</v>
      </c>
      <c r="C34" s="803">
        <f aca="true" t="shared" si="17" ref="C34:N34">SUM(C35:C41)</f>
        <v>2030</v>
      </c>
      <c r="D34" s="1524">
        <f t="shared" si="17"/>
        <v>2640</v>
      </c>
      <c r="E34" s="2371">
        <f t="shared" si="17"/>
        <v>111265</v>
      </c>
      <c r="F34" s="227">
        <f t="shared" si="17"/>
        <v>3351.9693899999997</v>
      </c>
      <c r="G34" s="563">
        <f t="shared" si="17"/>
        <v>183876</v>
      </c>
      <c r="H34" s="569">
        <f t="shared" si="17"/>
        <v>5539.448375999999</v>
      </c>
      <c r="I34" s="257">
        <f t="shared" si="17"/>
        <v>161776</v>
      </c>
      <c r="J34" s="257">
        <f t="shared" si="17"/>
        <v>4873.663775999999</v>
      </c>
      <c r="K34" s="257">
        <f t="shared" si="17"/>
        <v>131900</v>
      </c>
      <c r="L34" s="257">
        <f t="shared" si="17"/>
        <v>3973.6194</v>
      </c>
      <c r="M34" s="257">
        <f t="shared" si="17"/>
        <v>118200</v>
      </c>
      <c r="N34" s="257">
        <f t="shared" si="17"/>
        <v>3560.8932</v>
      </c>
      <c r="O34" s="257">
        <f>SUM(O35:O41)</f>
        <v>84400</v>
      </c>
      <c r="P34" s="1576">
        <f>SUM(P35:P41)</f>
        <v>2542.6344</v>
      </c>
      <c r="Q34" s="428">
        <f>SUM(Q35:Q41)</f>
        <v>84400</v>
      </c>
      <c r="R34" s="429">
        <f>SUM(R35:R41)</f>
        <v>2542.6344</v>
      </c>
      <c r="S34" s="2246"/>
      <c r="T34" s="257"/>
      <c r="U34" s="257"/>
      <c r="V34" s="311"/>
    </row>
    <row r="35" spans="1:22" ht="15" customHeight="1">
      <c r="A35" s="103"/>
      <c r="B35" s="952" t="s">
        <v>937</v>
      </c>
      <c r="C35" s="803"/>
      <c r="D35" s="1524">
        <v>2240</v>
      </c>
      <c r="E35" s="772">
        <v>80329</v>
      </c>
      <c r="F35" s="139">
        <f>(E35*30.126)/1000</f>
        <v>2419.991454</v>
      </c>
      <c r="G35" s="446">
        <v>84400</v>
      </c>
      <c r="H35" s="354">
        <f>G35*30.126/1000</f>
        <v>2542.6344</v>
      </c>
      <c r="I35" s="249">
        <v>84400</v>
      </c>
      <c r="J35" s="249">
        <f>I35*30.126/1000</f>
        <v>2542.6344</v>
      </c>
      <c r="K35" s="249">
        <v>88700</v>
      </c>
      <c r="L35" s="249">
        <f>K35*30.126/1000</f>
        <v>2672.1762000000003</v>
      </c>
      <c r="M35" s="249">
        <v>93200</v>
      </c>
      <c r="N35" s="249">
        <f>M35*30.126/1000</f>
        <v>2807.7432000000003</v>
      </c>
      <c r="O35" s="249">
        <v>84400</v>
      </c>
      <c r="P35" s="1553">
        <f>O35*30.126/1000</f>
        <v>2542.6344</v>
      </c>
      <c r="Q35" s="985">
        <v>84400</v>
      </c>
      <c r="R35" s="986">
        <f>Q35*30.126/1000</f>
        <v>2542.6344</v>
      </c>
      <c r="S35" s="2291"/>
      <c r="T35" s="249"/>
      <c r="U35" s="249"/>
      <c r="V35" s="304"/>
    </row>
    <row r="36" spans="1:22" s="384" customFormat="1" ht="15" customHeight="1" hidden="1">
      <c r="A36" s="385"/>
      <c r="B36" s="953" t="s">
        <v>2</v>
      </c>
      <c r="C36" s="940"/>
      <c r="D36" s="2634"/>
      <c r="E36" s="2644"/>
      <c r="F36" s="2645"/>
      <c r="G36" s="613">
        <v>77376</v>
      </c>
      <c r="H36" s="631">
        <f>G36*30.126/1000</f>
        <v>2331.029376</v>
      </c>
      <c r="I36" s="632">
        <v>77376</v>
      </c>
      <c r="J36" s="632">
        <f>I36*30.126/1000</f>
        <v>2331.029376</v>
      </c>
      <c r="K36" s="632"/>
      <c r="L36" s="249"/>
      <c r="M36" s="632"/>
      <c r="N36" s="249"/>
      <c r="O36" s="632"/>
      <c r="P36" s="1631"/>
      <c r="Q36" s="1639"/>
      <c r="R36" s="2682"/>
      <c r="S36" s="2660"/>
      <c r="T36" s="632"/>
      <c r="U36" s="632"/>
      <c r="V36" s="633"/>
    </row>
    <row r="37" spans="1:22" ht="15" customHeight="1">
      <c r="A37" s="103"/>
      <c r="B37" s="952" t="s">
        <v>938</v>
      </c>
      <c r="C37" s="803">
        <v>514</v>
      </c>
      <c r="D37" s="1524"/>
      <c r="E37" s="772">
        <v>5012</v>
      </c>
      <c r="F37" s="139">
        <f aca="true" t="shared" si="18" ref="F37:F43">(E37*30.126)/1000</f>
        <v>150.99151200000003</v>
      </c>
      <c r="G37" s="446">
        <v>10000</v>
      </c>
      <c r="H37" s="354">
        <f>G37*30.126/1000</f>
        <v>301.26</v>
      </c>
      <c r="I37" s="249"/>
      <c r="J37" s="249"/>
      <c r="K37" s="249">
        <v>10000</v>
      </c>
      <c r="L37" s="249">
        <f aca="true" t="shared" si="19" ref="L37:L43">K37*30.126/1000</f>
        <v>301.26</v>
      </c>
      <c r="M37" s="249">
        <v>10000</v>
      </c>
      <c r="N37" s="249">
        <f aca="true" t="shared" si="20" ref="N37:N43">M37*30.126/1000</f>
        <v>301.26</v>
      </c>
      <c r="O37" s="249"/>
      <c r="P37" s="1553"/>
      <c r="Q37" s="985"/>
      <c r="R37" s="986"/>
      <c r="S37" s="2291"/>
      <c r="T37" s="249"/>
      <c r="U37" s="249"/>
      <c r="V37" s="304"/>
    </row>
    <row r="38" spans="1:22" ht="15" customHeight="1">
      <c r="A38" s="103"/>
      <c r="B38" s="952" t="s">
        <v>939</v>
      </c>
      <c r="C38" s="803">
        <v>359</v>
      </c>
      <c r="D38" s="1524"/>
      <c r="E38" s="772">
        <v>9261</v>
      </c>
      <c r="F38" s="139">
        <f t="shared" si="18"/>
        <v>278.996886</v>
      </c>
      <c r="G38" s="446">
        <v>12100</v>
      </c>
      <c r="H38" s="354">
        <f>G38*30.126/1000</f>
        <v>364.5246</v>
      </c>
      <c r="I38" s="249"/>
      <c r="J38" s="249"/>
      <c r="K38" s="249"/>
      <c r="L38" s="249"/>
      <c r="M38" s="249"/>
      <c r="N38" s="249"/>
      <c r="O38" s="249"/>
      <c r="P38" s="1553"/>
      <c r="Q38" s="985"/>
      <c r="R38" s="986"/>
      <c r="S38" s="2291"/>
      <c r="T38" s="249"/>
      <c r="U38" s="249"/>
      <c r="V38" s="304"/>
    </row>
    <row r="39" spans="1:22" ht="15" customHeight="1" hidden="1">
      <c r="A39" s="103"/>
      <c r="B39" s="952" t="s">
        <v>584</v>
      </c>
      <c r="C39" s="803"/>
      <c r="D39" s="1524">
        <v>400</v>
      </c>
      <c r="E39" s="772"/>
      <c r="F39" s="139"/>
      <c r="G39" s="446"/>
      <c r="H39" s="354"/>
      <c r="I39" s="249"/>
      <c r="J39" s="249"/>
      <c r="K39" s="249"/>
      <c r="L39" s="249"/>
      <c r="M39" s="249"/>
      <c r="N39" s="249"/>
      <c r="O39" s="249"/>
      <c r="P39" s="1553"/>
      <c r="Q39" s="985"/>
      <c r="R39" s="986"/>
      <c r="S39" s="2291"/>
      <c r="T39" s="249"/>
      <c r="U39" s="249"/>
      <c r="V39" s="304"/>
    </row>
    <row r="40" spans="1:22" ht="15" customHeight="1" hidden="1">
      <c r="A40" s="103"/>
      <c r="B40" s="952" t="s">
        <v>585</v>
      </c>
      <c r="C40" s="803">
        <v>1157</v>
      </c>
      <c r="D40" s="1524"/>
      <c r="E40" s="772"/>
      <c r="F40" s="139"/>
      <c r="G40" s="446"/>
      <c r="H40" s="354"/>
      <c r="I40" s="249"/>
      <c r="J40" s="249"/>
      <c r="K40" s="249"/>
      <c r="L40" s="249"/>
      <c r="M40" s="249"/>
      <c r="N40" s="249"/>
      <c r="O40" s="249"/>
      <c r="P40" s="1553"/>
      <c r="Q40" s="985"/>
      <c r="R40" s="986"/>
      <c r="S40" s="2291"/>
      <c r="T40" s="249"/>
      <c r="U40" s="249"/>
      <c r="V40" s="304"/>
    </row>
    <row r="41" spans="1:22" ht="15" customHeight="1">
      <c r="A41" s="103"/>
      <c r="B41" s="952" t="s">
        <v>232</v>
      </c>
      <c r="C41" s="803"/>
      <c r="D41" s="1524"/>
      <c r="E41" s="772">
        <v>16663</v>
      </c>
      <c r="F41" s="139">
        <f t="shared" si="18"/>
        <v>501.989538</v>
      </c>
      <c r="G41" s="446"/>
      <c r="H41" s="354"/>
      <c r="I41" s="249"/>
      <c r="J41" s="249"/>
      <c r="K41" s="249">
        <v>33200</v>
      </c>
      <c r="L41" s="249">
        <f t="shared" si="19"/>
        <v>1000.1832</v>
      </c>
      <c r="M41" s="249">
        <v>15000</v>
      </c>
      <c r="N41" s="249">
        <f t="shared" si="20"/>
        <v>451.89</v>
      </c>
      <c r="O41" s="249"/>
      <c r="P41" s="1553"/>
      <c r="Q41" s="985"/>
      <c r="R41" s="986"/>
      <c r="S41" s="2291"/>
      <c r="T41" s="249"/>
      <c r="U41" s="249"/>
      <c r="V41" s="304"/>
    </row>
    <row r="42" spans="1:22" ht="15" customHeight="1">
      <c r="A42" s="103"/>
      <c r="B42" s="945" t="s">
        <v>337</v>
      </c>
      <c r="C42" s="803"/>
      <c r="D42" s="1524"/>
      <c r="E42" s="772">
        <v>305052</v>
      </c>
      <c r="F42" s="139">
        <f t="shared" si="18"/>
        <v>9189.996552</v>
      </c>
      <c r="G42" s="446">
        <v>305300</v>
      </c>
      <c r="H42" s="354">
        <f>G42*30.126/1000</f>
        <v>9197.4678</v>
      </c>
      <c r="I42" s="249">
        <v>305300</v>
      </c>
      <c r="J42" s="249">
        <f>I42*30.126/1000</f>
        <v>9197.4678</v>
      </c>
      <c r="K42" s="249">
        <v>305300</v>
      </c>
      <c r="L42" s="249">
        <f t="shared" si="19"/>
        <v>9197.4678</v>
      </c>
      <c r="M42" s="249">
        <v>305300</v>
      </c>
      <c r="N42" s="249">
        <f t="shared" si="20"/>
        <v>9197.4678</v>
      </c>
      <c r="O42" s="249">
        <v>305300</v>
      </c>
      <c r="P42" s="1553">
        <f>O42*30.126/1000</f>
        <v>9197.4678</v>
      </c>
      <c r="Q42" s="985">
        <v>305300</v>
      </c>
      <c r="R42" s="986">
        <f>Q42*30.126/1000</f>
        <v>9197.4678</v>
      </c>
      <c r="S42" s="2291"/>
      <c r="T42" s="249"/>
      <c r="U42" s="249"/>
      <c r="V42" s="304"/>
    </row>
    <row r="43" spans="1:22" ht="15" customHeight="1">
      <c r="A43" s="103"/>
      <c r="B43" s="945" t="s">
        <v>30</v>
      </c>
      <c r="C43" s="803"/>
      <c r="D43" s="1524"/>
      <c r="E43" s="772">
        <v>588492</v>
      </c>
      <c r="F43" s="139">
        <f t="shared" si="18"/>
        <v>17728.909992</v>
      </c>
      <c r="G43" s="446"/>
      <c r="H43" s="354">
        <f>G43*30.126/1000</f>
        <v>0</v>
      </c>
      <c r="I43" s="249"/>
      <c r="J43" s="249"/>
      <c r="K43" s="249"/>
      <c r="L43" s="249">
        <f t="shared" si="19"/>
        <v>0</v>
      </c>
      <c r="M43" s="249"/>
      <c r="N43" s="249">
        <f t="shared" si="20"/>
        <v>0</v>
      </c>
      <c r="O43" s="249"/>
      <c r="P43" s="1553"/>
      <c r="Q43" s="985">
        <v>588492</v>
      </c>
      <c r="R43" s="986">
        <f>Q43*30.126/1000</f>
        <v>17728.909992</v>
      </c>
      <c r="S43" s="2291"/>
      <c r="T43" s="249"/>
      <c r="U43" s="249"/>
      <c r="V43" s="304"/>
    </row>
    <row r="44" spans="1:22" ht="15" customHeight="1">
      <c r="A44" s="103"/>
      <c r="B44" s="945" t="s">
        <v>865</v>
      </c>
      <c r="C44" s="803"/>
      <c r="D44" s="1524"/>
      <c r="E44" s="772">
        <v>53442</v>
      </c>
      <c r="F44" s="139">
        <f>E44*30.126/1000</f>
        <v>1609.993692</v>
      </c>
      <c r="G44" s="446"/>
      <c r="H44" s="354"/>
      <c r="I44" s="249"/>
      <c r="J44" s="249"/>
      <c r="K44" s="249"/>
      <c r="L44" s="249"/>
      <c r="M44" s="249"/>
      <c r="N44" s="249"/>
      <c r="O44" s="249"/>
      <c r="P44" s="1553"/>
      <c r="Q44" s="985"/>
      <c r="R44" s="986"/>
      <c r="S44" s="2291"/>
      <c r="T44" s="249"/>
      <c r="U44" s="249"/>
      <c r="V44" s="304"/>
    </row>
    <row r="45" spans="1:22" ht="15" customHeight="1">
      <c r="A45" s="100" t="s">
        <v>863</v>
      </c>
      <c r="B45" s="947" t="s">
        <v>864</v>
      </c>
      <c r="C45" s="803"/>
      <c r="D45" s="1524"/>
      <c r="E45" s="2412">
        <v>35330</v>
      </c>
      <c r="F45" s="324">
        <f>E45*30.126/1000</f>
        <v>1064.35158</v>
      </c>
      <c r="G45" s="614"/>
      <c r="H45" s="634"/>
      <c r="I45" s="326"/>
      <c r="J45" s="326"/>
      <c r="K45" s="326"/>
      <c r="L45" s="326"/>
      <c r="M45" s="326"/>
      <c r="N45" s="326"/>
      <c r="O45" s="326"/>
      <c r="P45" s="1632"/>
      <c r="Q45" s="1640"/>
      <c r="R45" s="2683"/>
      <c r="S45" s="2661"/>
      <c r="T45" s="326"/>
      <c r="U45" s="326"/>
      <c r="V45" s="635"/>
    </row>
    <row r="46" spans="1:22" s="1" customFormat="1" ht="19.5" customHeight="1">
      <c r="A46" s="95" t="s">
        <v>491</v>
      </c>
      <c r="B46" s="895" t="s">
        <v>967</v>
      </c>
      <c r="C46" s="937">
        <f aca="true" t="shared" si="21" ref="C46:N46">C47+C65</f>
        <v>4498</v>
      </c>
      <c r="D46" s="2631">
        <f t="shared" si="21"/>
        <v>11329</v>
      </c>
      <c r="E46" s="2579">
        <f>E47+E65+E67</f>
        <v>339652</v>
      </c>
      <c r="F46" s="2580">
        <f>E46*30.126/1000</f>
        <v>10232.356152</v>
      </c>
      <c r="G46" s="608">
        <f t="shared" si="21"/>
        <v>170949</v>
      </c>
      <c r="H46" s="622">
        <f t="shared" si="21"/>
        <v>5150.009574</v>
      </c>
      <c r="I46" s="623">
        <f t="shared" si="21"/>
        <v>137755</v>
      </c>
      <c r="J46" s="623">
        <f t="shared" si="21"/>
        <v>4150.00713</v>
      </c>
      <c r="K46" s="623">
        <f t="shared" si="21"/>
        <v>167629</v>
      </c>
      <c r="L46" s="623">
        <f t="shared" si="21"/>
        <v>5049.9912540000005</v>
      </c>
      <c r="M46" s="623">
        <f t="shared" si="21"/>
        <v>242316</v>
      </c>
      <c r="N46" s="623">
        <f t="shared" si="21"/>
        <v>7300.011816</v>
      </c>
      <c r="O46" s="623">
        <f>O47+O65</f>
        <v>137755</v>
      </c>
      <c r="P46" s="1628">
        <f>P47+P65</f>
        <v>4150.00713</v>
      </c>
      <c r="Q46" s="622">
        <f>Q47+Q65</f>
        <v>137755</v>
      </c>
      <c r="R46" s="2678">
        <f>R47+R65</f>
        <v>4150.00713</v>
      </c>
      <c r="S46" s="2602">
        <v>137755</v>
      </c>
      <c r="T46" s="623">
        <f>S46*30.126/1000</f>
        <v>4150.00713</v>
      </c>
      <c r="U46" s="623">
        <v>137755</v>
      </c>
      <c r="V46" s="624">
        <f>U46*30.126/1000</f>
        <v>4150.00713</v>
      </c>
    </row>
    <row r="47" spans="1:22" s="13" customFormat="1" ht="15" customHeight="1">
      <c r="A47" s="96" t="s">
        <v>492</v>
      </c>
      <c r="B47" s="950" t="s">
        <v>496</v>
      </c>
      <c r="C47" s="863">
        <v>4498</v>
      </c>
      <c r="D47" s="2477">
        <v>11329</v>
      </c>
      <c r="E47" s="2642">
        <f>E48+E54+E55+E56+E57</f>
        <v>232382</v>
      </c>
      <c r="F47" s="2643">
        <f>F48+F54+F55+F56+F57+F58+F59+F60+F61+F62+F63+F64</f>
        <v>7000.740132000002</v>
      </c>
      <c r="G47" s="612">
        <v>170949</v>
      </c>
      <c r="H47" s="628">
        <f>G47*30.126/1000</f>
        <v>5150.009574</v>
      </c>
      <c r="I47" s="629">
        <v>137755</v>
      </c>
      <c r="J47" s="629">
        <f>I47*30.126/1000</f>
        <v>4150.00713</v>
      </c>
      <c r="K47" s="629">
        <v>167629</v>
      </c>
      <c r="L47" s="629">
        <f>K47*30.126/1000</f>
        <v>5049.9912540000005</v>
      </c>
      <c r="M47" s="629">
        <v>242316</v>
      </c>
      <c r="N47" s="629">
        <f>M47*30.126/1000</f>
        <v>7300.011816</v>
      </c>
      <c r="O47" s="629">
        <v>137755</v>
      </c>
      <c r="P47" s="1630">
        <f>O47*30.126/1000</f>
        <v>4150.00713</v>
      </c>
      <c r="Q47" s="1638">
        <v>137755</v>
      </c>
      <c r="R47" s="2681">
        <f>Q47*30.126/1000</f>
        <v>4150.00713</v>
      </c>
      <c r="S47" s="2659"/>
      <c r="T47" s="629"/>
      <c r="U47" s="629"/>
      <c r="V47" s="630"/>
    </row>
    <row r="48" spans="1:22" s="13" customFormat="1" ht="15" customHeight="1">
      <c r="A48" s="99"/>
      <c r="B48" s="945" t="s">
        <v>282</v>
      </c>
      <c r="C48" s="803">
        <f>SUM(C49:C53)</f>
        <v>0</v>
      </c>
      <c r="D48" s="1524">
        <f>SUM(D49:D53)</f>
        <v>0</v>
      </c>
      <c r="E48" s="2412">
        <f>SUM(E49:E53)</f>
        <v>139578</v>
      </c>
      <c r="F48" s="324">
        <f>SUM(F49:F53)</f>
        <v>4204.926828000001</v>
      </c>
      <c r="G48" s="614"/>
      <c r="H48" s="634"/>
      <c r="I48" s="326"/>
      <c r="J48" s="326"/>
      <c r="K48" s="326"/>
      <c r="L48" s="326"/>
      <c r="M48" s="326"/>
      <c r="N48" s="326"/>
      <c r="O48" s="326"/>
      <c r="P48" s="1632"/>
      <c r="Q48" s="1640"/>
      <c r="R48" s="2683"/>
      <c r="S48" s="2661"/>
      <c r="T48" s="326"/>
      <c r="U48" s="326"/>
      <c r="V48" s="635"/>
    </row>
    <row r="49" spans="1:22" s="13" customFormat="1" ht="15" customHeight="1" hidden="1">
      <c r="A49" s="104"/>
      <c r="B49" s="952" t="s">
        <v>400</v>
      </c>
      <c r="C49" s="803"/>
      <c r="D49" s="1524"/>
      <c r="E49" s="2412"/>
      <c r="F49" s="324"/>
      <c r="G49" s="614"/>
      <c r="H49" s="634"/>
      <c r="I49" s="326"/>
      <c r="J49" s="326"/>
      <c r="K49" s="326"/>
      <c r="L49" s="326"/>
      <c r="M49" s="326"/>
      <c r="N49" s="326"/>
      <c r="O49" s="326"/>
      <c r="P49" s="1632"/>
      <c r="Q49" s="1640"/>
      <c r="R49" s="2683"/>
      <c r="S49" s="2661"/>
      <c r="T49" s="326"/>
      <c r="U49" s="326"/>
      <c r="V49" s="635"/>
    </row>
    <row r="50" spans="1:22" s="13" customFormat="1" ht="15" customHeight="1" hidden="1">
      <c r="A50" s="104"/>
      <c r="B50" s="952" t="s">
        <v>401</v>
      </c>
      <c r="C50" s="803"/>
      <c r="D50" s="1524"/>
      <c r="E50" s="2412"/>
      <c r="F50" s="324"/>
      <c r="G50" s="614"/>
      <c r="H50" s="634"/>
      <c r="I50" s="326"/>
      <c r="J50" s="326"/>
      <c r="K50" s="326"/>
      <c r="L50" s="326"/>
      <c r="M50" s="326"/>
      <c r="N50" s="326"/>
      <c r="O50" s="326"/>
      <c r="P50" s="1632"/>
      <c r="Q50" s="1640"/>
      <c r="R50" s="2683"/>
      <c r="S50" s="2661"/>
      <c r="T50" s="326"/>
      <c r="U50" s="326"/>
      <c r="V50" s="635"/>
    </row>
    <row r="51" spans="1:22" s="13" customFormat="1" ht="15" customHeight="1">
      <c r="A51" s="104"/>
      <c r="B51" s="952" t="s">
        <v>402</v>
      </c>
      <c r="C51" s="803"/>
      <c r="D51" s="1524"/>
      <c r="E51" s="2412">
        <v>23526</v>
      </c>
      <c r="F51" s="324">
        <f>(E51*30.126)/1000</f>
        <v>708.7442760000001</v>
      </c>
      <c r="G51" s="614"/>
      <c r="H51" s="634"/>
      <c r="I51" s="326"/>
      <c r="J51" s="326"/>
      <c r="K51" s="326"/>
      <c r="L51" s="326"/>
      <c r="M51" s="326"/>
      <c r="N51" s="326"/>
      <c r="O51" s="326"/>
      <c r="P51" s="1632"/>
      <c r="Q51" s="1640"/>
      <c r="R51" s="2683"/>
      <c r="S51" s="2661"/>
      <c r="T51" s="326"/>
      <c r="U51" s="326"/>
      <c r="V51" s="635"/>
    </row>
    <row r="52" spans="1:22" s="13" customFormat="1" ht="15" customHeight="1">
      <c r="A52" s="104"/>
      <c r="B52" s="952" t="s">
        <v>579</v>
      </c>
      <c r="C52" s="803"/>
      <c r="D52" s="1524"/>
      <c r="E52" s="2412">
        <v>26555</v>
      </c>
      <c r="F52" s="324">
        <f aca="true" t="shared" si="22" ref="F52:F57">(E52*30.126)/1000</f>
        <v>799.99593</v>
      </c>
      <c r="G52" s="614"/>
      <c r="H52" s="634"/>
      <c r="I52" s="326"/>
      <c r="J52" s="326"/>
      <c r="K52" s="326"/>
      <c r="L52" s="326"/>
      <c r="M52" s="326"/>
      <c r="N52" s="326"/>
      <c r="O52" s="326"/>
      <c r="P52" s="1632"/>
      <c r="Q52" s="1640"/>
      <c r="R52" s="2683"/>
      <c r="S52" s="2661"/>
      <c r="T52" s="326"/>
      <c r="U52" s="326"/>
      <c r="V52" s="635"/>
    </row>
    <row r="53" spans="1:22" s="13" customFormat="1" ht="15" customHeight="1">
      <c r="A53" s="104"/>
      <c r="B53" s="952" t="s">
        <v>403</v>
      </c>
      <c r="C53" s="803"/>
      <c r="D53" s="1524"/>
      <c r="E53" s="2412">
        <v>89497</v>
      </c>
      <c r="F53" s="324">
        <f t="shared" si="22"/>
        <v>2696.186622</v>
      </c>
      <c r="G53" s="614"/>
      <c r="H53" s="634"/>
      <c r="I53" s="326"/>
      <c r="J53" s="326"/>
      <c r="K53" s="326"/>
      <c r="L53" s="326"/>
      <c r="M53" s="326"/>
      <c r="N53" s="326"/>
      <c r="O53" s="326"/>
      <c r="P53" s="1632"/>
      <c r="Q53" s="1640"/>
      <c r="R53" s="2683"/>
      <c r="S53" s="2661"/>
      <c r="T53" s="326"/>
      <c r="U53" s="326"/>
      <c r="V53" s="635"/>
    </row>
    <row r="54" spans="1:22" s="13" customFormat="1" ht="15" customHeight="1">
      <c r="A54" s="99"/>
      <c r="B54" s="945" t="s">
        <v>281</v>
      </c>
      <c r="C54" s="803"/>
      <c r="D54" s="1524"/>
      <c r="E54" s="2412">
        <v>59610</v>
      </c>
      <c r="F54" s="324">
        <f t="shared" si="22"/>
        <v>1795.81086</v>
      </c>
      <c r="G54" s="614"/>
      <c r="H54" s="634"/>
      <c r="I54" s="326"/>
      <c r="J54" s="326"/>
      <c r="K54" s="326"/>
      <c r="L54" s="326"/>
      <c r="M54" s="326"/>
      <c r="N54" s="326"/>
      <c r="O54" s="326"/>
      <c r="P54" s="1632"/>
      <c r="Q54" s="1640"/>
      <c r="R54" s="2683"/>
      <c r="S54" s="2661"/>
      <c r="T54" s="326"/>
      <c r="U54" s="326"/>
      <c r="V54" s="635"/>
    </row>
    <row r="55" spans="1:22" s="13" customFormat="1" ht="15" customHeight="1">
      <c r="A55" s="99"/>
      <c r="B55" s="945" t="s">
        <v>580</v>
      </c>
      <c r="C55" s="803"/>
      <c r="D55" s="1524"/>
      <c r="E55" s="2412">
        <v>13278</v>
      </c>
      <c r="F55" s="324">
        <f t="shared" si="22"/>
        <v>400.01302799999996</v>
      </c>
      <c r="G55" s="614"/>
      <c r="H55" s="634"/>
      <c r="I55" s="326"/>
      <c r="J55" s="326"/>
      <c r="K55" s="326"/>
      <c r="L55" s="326"/>
      <c r="M55" s="326"/>
      <c r="N55" s="326"/>
      <c r="O55" s="326"/>
      <c r="P55" s="1632"/>
      <c r="Q55" s="1640"/>
      <c r="R55" s="2683"/>
      <c r="S55" s="2661"/>
      <c r="T55" s="326"/>
      <c r="U55" s="326"/>
      <c r="V55" s="635"/>
    </row>
    <row r="56" spans="1:22" s="13" customFormat="1" ht="15" customHeight="1">
      <c r="A56" s="99"/>
      <c r="B56" s="945" t="s">
        <v>581</v>
      </c>
      <c r="C56" s="803"/>
      <c r="D56" s="1524"/>
      <c r="E56" s="2412">
        <v>14937</v>
      </c>
      <c r="F56" s="324">
        <f t="shared" si="22"/>
        <v>449.99206200000003</v>
      </c>
      <c r="G56" s="614"/>
      <c r="H56" s="634"/>
      <c r="I56" s="326"/>
      <c r="J56" s="326"/>
      <c r="K56" s="326"/>
      <c r="L56" s="326"/>
      <c r="M56" s="326"/>
      <c r="N56" s="326"/>
      <c r="O56" s="326"/>
      <c r="P56" s="1632"/>
      <c r="Q56" s="1640"/>
      <c r="R56" s="2683"/>
      <c r="S56" s="2661"/>
      <c r="T56" s="326"/>
      <c r="U56" s="326"/>
      <c r="V56" s="635"/>
    </row>
    <row r="57" spans="1:22" s="13" customFormat="1" ht="15" customHeight="1">
      <c r="A57" s="99"/>
      <c r="B57" s="945" t="s">
        <v>583</v>
      </c>
      <c r="C57" s="803"/>
      <c r="D57" s="1524"/>
      <c r="E57" s="2412">
        <v>4979</v>
      </c>
      <c r="F57" s="324">
        <f t="shared" si="22"/>
        <v>149.997354</v>
      </c>
      <c r="G57" s="614"/>
      <c r="H57" s="634"/>
      <c r="I57" s="326"/>
      <c r="J57" s="326"/>
      <c r="K57" s="326"/>
      <c r="L57" s="326"/>
      <c r="M57" s="326"/>
      <c r="N57" s="326"/>
      <c r="O57" s="326"/>
      <c r="P57" s="1632"/>
      <c r="Q57" s="1640"/>
      <c r="R57" s="2683"/>
      <c r="S57" s="2661"/>
      <c r="T57" s="326"/>
      <c r="U57" s="326"/>
      <c r="V57" s="635"/>
    </row>
    <row r="58" spans="1:22" s="13" customFormat="1" ht="15" customHeight="1" hidden="1">
      <c r="A58" s="99"/>
      <c r="B58" s="945" t="s">
        <v>280</v>
      </c>
      <c r="C58" s="803"/>
      <c r="D58" s="1524"/>
      <c r="E58" s="2412"/>
      <c r="F58" s="324"/>
      <c r="G58" s="614"/>
      <c r="H58" s="634"/>
      <c r="I58" s="326"/>
      <c r="J58" s="326"/>
      <c r="K58" s="326"/>
      <c r="L58" s="326"/>
      <c r="M58" s="326"/>
      <c r="N58" s="326"/>
      <c r="O58" s="326"/>
      <c r="P58" s="1632"/>
      <c r="Q58" s="1640"/>
      <c r="R58" s="2683"/>
      <c r="S58" s="2661"/>
      <c r="T58" s="326"/>
      <c r="U58" s="326"/>
      <c r="V58" s="635"/>
    </row>
    <row r="59" spans="1:22" s="13" customFormat="1" ht="15" customHeight="1" hidden="1">
      <c r="A59" s="99"/>
      <c r="B59" s="945" t="s">
        <v>276</v>
      </c>
      <c r="C59" s="803"/>
      <c r="D59" s="1524"/>
      <c r="E59" s="2412"/>
      <c r="F59" s="324"/>
      <c r="G59" s="614"/>
      <c r="H59" s="634"/>
      <c r="I59" s="326"/>
      <c r="J59" s="326"/>
      <c r="K59" s="326"/>
      <c r="L59" s="326"/>
      <c r="M59" s="326"/>
      <c r="N59" s="326"/>
      <c r="O59" s="326"/>
      <c r="P59" s="1632"/>
      <c r="Q59" s="1640"/>
      <c r="R59" s="2683"/>
      <c r="S59" s="2661"/>
      <c r="T59" s="326"/>
      <c r="U59" s="326"/>
      <c r="V59" s="635"/>
    </row>
    <row r="60" spans="1:22" s="13" customFormat="1" ht="15" customHeight="1" hidden="1">
      <c r="A60" s="99"/>
      <c r="B60" s="945" t="s">
        <v>404</v>
      </c>
      <c r="C60" s="803"/>
      <c r="D60" s="1524"/>
      <c r="E60" s="2412"/>
      <c r="F60" s="324"/>
      <c r="G60" s="614"/>
      <c r="H60" s="634"/>
      <c r="I60" s="326"/>
      <c r="J60" s="326"/>
      <c r="K60" s="326"/>
      <c r="L60" s="326"/>
      <c r="M60" s="326"/>
      <c r="N60" s="326"/>
      <c r="O60" s="326"/>
      <c r="P60" s="1632"/>
      <c r="Q60" s="1640"/>
      <c r="R60" s="2683"/>
      <c r="S60" s="2661"/>
      <c r="T60" s="326"/>
      <c r="U60" s="326"/>
      <c r="V60" s="635"/>
    </row>
    <row r="61" spans="1:22" s="13" customFormat="1" ht="15" customHeight="1" hidden="1">
      <c r="A61" s="99"/>
      <c r="B61" s="945" t="s">
        <v>913</v>
      </c>
      <c r="C61" s="803"/>
      <c r="D61" s="1524"/>
      <c r="E61" s="2412"/>
      <c r="F61" s="324"/>
      <c r="G61" s="614"/>
      <c r="H61" s="634"/>
      <c r="I61" s="326"/>
      <c r="J61" s="326"/>
      <c r="K61" s="326"/>
      <c r="L61" s="326"/>
      <c r="M61" s="326"/>
      <c r="N61" s="326"/>
      <c r="O61" s="326"/>
      <c r="P61" s="1632"/>
      <c r="Q61" s="1640"/>
      <c r="R61" s="2683"/>
      <c r="S61" s="2661"/>
      <c r="T61" s="326"/>
      <c r="U61" s="326"/>
      <c r="V61" s="635"/>
    </row>
    <row r="62" spans="1:22" s="13" customFormat="1" ht="15" customHeight="1" hidden="1">
      <c r="A62" s="99"/>
      <c r="B62" s="945" t="s">
        <v>912</v>
      </c>
      <c r="C62" s="803"/>
      <c r="D62" s="1524"/>
      <c r="E62" s="2412"/>
      <c r="F62" s="324"/>
      <c r="G62" s="614"/>
      <c r="H62" s="634"/>
      <c r="I62" s="326"/>
      <c r="J62" s="326"/>
      <c r="K62" s="326"/>
      <c r="L62" s="326"/>
      <c r="M62" s="326"/>
      <c r="N62" s="326"/>
      <c r="O62" s="326"/>
      <c r="P62" s="1632"/>
      <c r="Q62" s="1640"/>
      <c r="R62" s="2683"/>
      <c r="S62" s="2661"/>
      <c r="T62" s="326"/>
      <c r="U62" s="326"/>
      <c r="V62" s="635"/>
    </row>
    <row r="63" spans="1:22" s="13" customFormat="1" ht="15" customHeight="1" hidden="1">
      <c r="A63" s="99"/>
      <c r="B63" s="945" t="s">
        <v>910</v>
      </c>
      <c r="C63" s="803"/>
      <c r="D63" s="1524"/>
      <c r="E63" s="2412"/>
      <c r="F63" s="324"/>
      <c r="G63" s="614"/>
      <c r="H63" s="634"/>
      <c r="I63" s="326"/>
      <c r="J63" s="326"/>
      <c r="K63" s="326"/>
      <c r="L63" s="326"/>
      <c r="M63" s="326"/>
      <c r="N63" s="326"/>
      <c r="O63" s="326"/>
      <c r="P63" s="1632"/>
      <c r="Q63" s="1640"/>
      <c r="R63" s="2683"/>
      <c r="S63" s="2661"/>
      <c r="T63" s="326"/>
      <c r="U63" s="326"/>
      <c r="V63" s="635"/>
    </row>
    <row r="64" spans="1:22" s="13" customFormat="1" ht="15" customHeight="1" hidden="1">
      <c r="A64" s="99"/>
      <c r="B64" s="945" t="s">
        <v>911</v>
      </c>
      <c r="C64" s="803"/>
      <c r="D64" s="1524"/>
      <c r="E64" s="2412"/>
      <c r="F64" s="324"/>
      <c r="G64" s="614"/>
      <c r="H64" s="634"/>
      <c r="I64" s="326"/>
      <c r="J64" s="326"/>
      <c r="K64" s="326"/>
      <c r="L64" s="326"/>
      <c r="M64" s="326"/>
      <c r="N64" s="326"/>
      <c r="O64" s="326"/>
      <c r="P64" s="1632"/>
      <c r="Q64" s="1640"/>
      <c r="R64" s="2683"/>
      <c r="S64" s="2661"/>
      <c r="T64" s="326"/>
      <c r="U64" s="326"/>
      <c r="V64" s="635"/>
    </row>
    <row r="65" spans="1:22" s="13" customFormat="1" ht="15" customHeight="1">
      <c r="A65" s="100" t="s">
        <v>909</v>
      </c>
      <c r="B65" s="954" t="s">
        <v>231</v>
      </c>
      <c r="C65" s="941">
        <f>C66</f>
        <v>0</v>
      </c>
      <c r="D65" s="2635">
        <f aca="true" t="shared" si="23" ref="D65:P65">D66</f>
        <v>0</v>
      </c>
      <c r="E65" s="861">
        <f t="shared" si="23"/>
        <v>22600</v>
      </c>
      <c r="F65" s="207">
        <f t="shared" si="23"/>
        <v>680.8475999999999</v>
      </c>
      <c r="G65" s="615">
        <f t="shared" si="23"/>
        <v>0</v>
      </c>
      <c r="H65" s="359">
        <f t="shared" si="23"/>
        <v>0</v>
      </c>
      <c r="I65" s="636">
        <f t="shared" si="23"/>
        <v>0</v>
      </c>
      <c r="J65" s="636">
        <f t="shared" si="23"/>
        <v>0</v>
      </c>
      <c r="K65" s="636">
        <f t="shared" si="23"/>
        <v>0</v>
      </c>
      <c r="L65" s="636">
        <f t="shared" si="23"/>
        <v>0</v>
      </c>
      <c r="M65" s="636">
        <f t="shared" si="23"/>
        <v>0</v>
      </c>
      <c r="N65" s="636">
        <f t="shared" si="23"/>
        <v>0</v>
      </c>
      <c r="O65" s="636">
        <f t="shared" si="23"/>
        <v>0</v>
      </c>
      <c r="P65" s="1633">
        <f t="shared" si="23"/>
        <v>0</v>
      </c>
      <c r="Q65" s="1641"/>
      <c r="R65" s="2684"/>
      <c r="S65" s="2662"/>
      <c r="T65" s="636"/>
      <c r="U65" s="636"/>
      <c r="V65" s="637"/>
    </row>
    <row r="66" spans="1:22" s="26" customFormat="1" ht="15" customHeight="1">
      <c r="A66" s="99"/>
      <c r="B66" s="945" t="s">
        <v>345</v>
      </c>
      <c r="C66" s="803"/>
      <c r="D66" s="1524"/>
      <c r="E66" s="861">
        <v>22600</v>
      </c>
      <c r="F66" s="324">
        <f>(E66*30.126)/1000</f>
        <v>680.8475999999999</v>
      </c>
      <c r="G66" s="615"/>
      <c r="H66" s="359">
        <f>G66*30.126/1000</f>
        <v>0</v>
      </c>
      <c r="I66" s="271"/>
      <c r="J66" s="271"/>
      <c r="K66" s="271"/>
      <c r="L66" s="271">
        <f>K66*30.126/1000</f>
        <v>0</v>
      </c>
      <c r="M66" s="271"/>
      <c r="N66" s="271">
        <f>M66*30.126/1000</f>
        <v>0</v>
      </c>
      <c r="O66" s="271"/>
      <c r="P66" s="1596"/>
      <c r="Q66" s="1169"/>
      <c r="R66" s="1170"/>
      <c r="S66" s="2485"/>
      <c r="T66" s="271"/>
      <c r="U66" s="271"/>
      <c r="V66" s="325"/>
    </row>
    <row r="67" spans="1:22" s="26" customFormat="1" ht="15" customHeight="1">
      <c r="A67" s="1648" t="s">
        <v>866</v>
      </c>
      <c r="B67" s="1647" t="s">
        <v>864</v>
      </c>
      <c r="C67" s="942"/>
      <c r="D67" s="2636"/>
      <c r="E67" s="2646">
        <v>84670</v>
      </c>
      <c r="F67" s="2647">
        <v>2551</v>
      </c>
      <c r="G67" s="616"/>
      <c r="H67" s="638"/>
      <c r="I67" s="639"/>
      <c r="J67" s="639"/>
      <c r="K67" s="639"/>
      <c r="L67" s="639"/>
      <c r="M67" s="639"/>
      <c r="N67" s="639"/>
      <c r="O67" s="639"/>
      <c r="P67" s="1634"/>
      <c r="Q67" s="1642"/>
      <c r="R67" s="2685"/>
      <c r="S67" s="2663"/>
      <c r="T67" s="639"/>
      <c r="U67" s="639"/>
      <c r="V67" s="640"/>
    </row>
    <row r="68" spans="1:22" s="1" customFormat="1" ht="19.5" customHeight="1">
      <c r="A68" s="94" t="s">
        <v>751</v>
      </c>
      <c r="B68" s="894" t="s">
        <v>930</v>
      </c>
      <c r="C68" s="936">
        <f>C69</f>
        <v>460</v>
      </c>
      <c r="D68" s="2630">
        <f>D69</f>
        <v>560</v>
      </c>
      <c r="E68" s="2577">
        <f>E69</f>
        <v>17894</v>
      </c>
      <c r="F68" s="2578">
        <f>F69</f>
        <v>539.00916</v>
      </c>
      <c r="G68" s="911">
        <f aca="true" t="shared" si="24" ref="G68:V68">G69</f>
        <v>19700</v>
      </c>
      <c r="H68" s="912">
        <f t="shared" si="24"/>
        <v>593.268</v>
      </c>
      <c r="I68" s="91">
        <f t="shared" si="24"/>
        <v>17500</v>
      </c>
      <c r="J68" s="91">
        <f t="shared" si="24"/>
        <v>527.205</v>
      </c>
      <c r="K68" s="91">
        <f t="shared" si="24"/>
        <v>18000</v>
      </c>
      <c r="L68" s="91">
        <f t="shared" si="24"/>
        <v>542.268</v>
      </c>
      <c r="M68" s="91">
        <f t="shared" si="24"/>
        <v>18000</v>
      </c>
      <c r="N68" s="91">
        <f t="shared" si="24"/>
        <v>542.268</v>
      </c>
      <c r="O68" s="91">
        <f t="shared" si="24"/>
        <v>17500</v>
      </c>
      <c r="P68" s="1627">
        <f t="shared" si="24"/>
        <v>527.205</v>
      </c>
      <c r="Q68" s="912">
        <f t="shared" si="24"/>
        <v>17500</v>
      </c>
      <c r="R68" s="2677">
        <f t="shared" si="24"/>
        <v>527.205</v>
      </c>
      <c r="S68" s="2601">
        <f t="shared" si="24"/>
        <v>17500</v>
      </c>
      <c r="T68" s="91">
        <f t="shared" si="24"/>
        <v>527.205</v>
      </c>
      <c r="U68" s="91">
        <f t="shared" si="24"/>
        <v>17500</v>
      </c>
      <c r="V68" s="621">
        <f t="shared" si="24"/>
        <v>527.205</v>
      </c>
    </row>
    <row r="69" spans="1:22" s="1" customFormat="1" ht="19.5" customHeight="1">
      <c r="A69" s="95" t="s">
        <v>493</v>
      </c>
      <c r="B69" s="895" t="s">
        <v>965</v>
      </c>
      <c r="C69" s="937">
        <f>C70+C71+C72</f>
        <v>460</v>
      </c>
      <c r="D69" s="2631">
        <f aca="true" t="shared" si="25" ref="D69:N69">D70+D71+D72</f>
        <v>560</v>
      </c>
      <c r="E69" s="2648">
        <f t="shared" si="25"/>
        <v>17894</v>
      </c>
      <c r="F69" s="2649">
        <f t="shared" si="25"/>
        <v>539.00916</v>
      </c>
      <c r="G69" s="609">
        <f t="shared" si="25"/>
        <v>19700</v>
      </c>
      <c r="H69" s="641">
        <f t="shared" si="25"/>
        <v>593.268</v>
      </c>
      <c r="I69" s="642">
        <f t="shared" si="25"/>
        <v>17500</v>
      </c>
      <c r="J69" s="642">
        <f t="shared" si="25"/>
        <v>527.205</v>
      </c>
      <c r="K69" s="642">
        <f t="shared" si="25"/>
        <v>18000</v>
      </c>
      <c r="L69" s="642">
        <f t="shared" si="25"/>
        <v>542.268</v>
      </c>
      <c r="M69" s="642">
        <f t="shared" si="25"/>
        <v>18000</v>
      </c>
      <c r="N69" s="642">
        <f t="shared" si="25"/>
        <v>542.268</v>
      </c>
      <c r="O69" s="642">
        <f>O70+O71+O72</f>
        <v>17500</v>
      </c>
      <c r="P69" s="1635">
        <f>P70+P71+P72</f>
        <v>527.205</v>
      </c>
      <c r="Q69" s="641">
        <f>Q70+Q71+Q72</f>
        <v>17500</v>
      </c>
      <c r="R69" s="2686">
        <f>R70+R71+R72</f>
        <v>527.205</v>
      </c>
      <c r="S69" s="2664">
        <v>17500</v>
      </c>
      <c r="T69" s="642">
        <f>S69*30.126/1000</f>
        <v>527.205</v>
      </c>
      <c r="U69" s="642">
        <v>17500</v>
      </c>
      <c r="V69" s="643">
        <f>U69*30.126/1000</f>
        <v>527.205</v>
      </c>
    </row>
    <row r="70" spans="1:22" s="6" customFormat="1" ht="15" customHeight="1">
      <c r="A70" s="100" t="s">
        <v>494</v>
      </c>
      <c r="B70" s="946" t="s">
        <v>989</v>
      </c>
      <c r="C70" s="853">
        <v>38</v>
      </c>
      <c r="D70" s="2526">
        <v>46</v>
      </c>
      <c r="E70" s="772">
        <v>1660</v>
      </c>
      <c r="F70" s="139">
        <f>(E70*30.126)/1000</f>
        <v>50.00916</v>
      </c>
      <c r="G70" s="446">
        <v>1700</v>
      </c>
      <c r="H70" s="354">
        <v>51</v>
      </c>
      <c r="I70" s="249"/>
      <c r="J70" s="249"/>
      <c r="K70" s="249"/>
      <c r="L70" s="249"/>
      <c r="M70" s="249"/>
      <c r="N70" s="249"/>
      <c r="O70" s="249"/>
      <c r="P70" s="1553"/>
      <c r="Q70" s="985"/>
      <c r="R70" s="986"/>
      <c r="S70" s="2291"/>
      <c r="T70" s="249"/>
      <c r="U70" s="249"/>
      <c r="V70" s="304"/>
    </row>
    <row r="71" spans="1:22" s="6" customFormat="1" ht="15" customHeight="1" hidden="1">
      <c r="A71" s="100"/>
      <c r="B71" s="946" t="s">
        <v>981</v>
      </c>
      <c r="C71" s="853"/>
      <c r="D71" s="2526">
        <v>30</v>
      </c>
      <c r="E71" s="772"/>
      <c r="F71" s="139"/>
      <c r="G71" s="446"/>
      <c r="H71" s="354"/>
      <c r="I71" s="249"/>
      <c r="J71" s="249"/>
      <c r="K71" s="249"/>
      <c r="L71" s="249"/>
      <c r="M71" s="249"/>
      <c r="N71" s="249"/>
      <c r="O71" s="249"/>
      <c r="P71" s="1553"/>
      <c r="Q71" s="985"/>
      <c r="R71" s="986"/>
      <c r="S71" s="2291"/>
      <c r="T71" s="249"/>
      <c r="U71" s="249"/>
      <c r="V71" s="304"/>
    </row>
    <row r="72" spans="1:22" s="6" customFormat="1" ht="15" customHeight="1">
      <c r="A72" s="100" t="s">
        <v>495</v>
      </c>
      <c r="B72" s="947" t="s">
        <v>946</v>
      </c>
      <c r="C72" s="803">
        <f aca="true" t="shared" si="26" ref="C72:N72">SUM(C73:C75)</f>
        <v>422</v>
      </c>
      <c r="D72" s="1524">
        <f t="shared" si="26"/>
        <v>484</v>
      </c>
      <c r="E72" s="2590">
        <v>16234</v>
      </c>
      <c r="F72" s="2591">
        <v>489</v>
      </c>
      <c r="G72" s="617">
        <f t="shared" si="26"/>
        <v>18000</v>
      </c>
      <c r="H72" s="644">
        <f t="shared" si="26"/>
        <v>542.268</v>
      </c>
      <c r="I72" s="645">
        <f t="shared" si="26"/>
        <v>17500</v>
      </c>
      <c r="J72" s="645">
        <f t="shared" si="26"/>
        <v>527.205</v>
      </c>
      <c r="K72" s="645">
        <f t="shared" si="26"/>
        <v>18000</v>
      </c>
      <c r="L72" s="645">
        <f t="shared" si="26"/>
        <v>542.268</v>
      </c>
      <c r="M72" s="645">
        <f t="shared" si="26"/>
        <v>18000</v>
      </c>
      <c r="N72" s="645">
        <f t="shared" si="26"/>
        <v>542.268</v>
      </c>
      <c r="O72" s="645">
        <f>SUM(O73:O75)</f>
        <v>17500</v>
      </c>
      <c r="P72" s="1636">
        <f>SUM(P73:P75)</f>
        <v>527.205</v>
      </c>
      <c r="Q72" s="1643">
        <f>SUM(Q73:Q75)</f>
        <v>17500</v>
      </c>
      <c r="R72" s="351">
        <f>SUM(R73:R75)</f>
        <v>527.205</v>
      </c>
      <c r="S72" s="848"/>
      <c r="T72" s="645"/>
      <c r="U72" s="645"/>
      <c r="V72" s="646"/>
    </row>
    <row r="73" spans="1:22" s="6" customFormat="1" ht="15" customHeight="1">
      <c r="A73" s="102"/>
      <c r="B73" s="945" t="s">
        <v>947</v>
      </c>
      <c r="C73" s="803">
        <v>179</v>
      </c>
      <c r="D73" s="1524">
        <v>195</v>
      </c>
      <c r="E73" s="772">
        <v>6639</v>
      </c>
      <c r="F73" s="139">
        <f>(E73*30.126)/1000</f>
        <v>200.00651399999998</v>
      </c>
      <c r="G73" s="446">
        <v>8000</v>
      </c>
      <c r="H73" s="354">
        <f>G73*30.126/1000</f>
        <v>241.008</v>
      </c>
      <c r="I73" s="249">
        <v>8000</v>
      </c>
      <c r="J73" s="249">
        <f>I73*30.126/1000</f>
        <v>241.008</v>
      </c>
      <c r="K73" s="249">
        <v>8000</v>
      </c>
      <c r="L73" s="249">
        <f>K73*30.126/1000</f>
        <v>241.008</v>
      </c>
      <c r="M73" s="249">
        <v>8000</v>
      </c>
      <c r="N73" s="249">
        <f>M73*30.126/1000</f>
        <v>241.008</v>
      </c>
      <c r="O73" s="249">
        <v>8000</v>
      </c>
      <c r="P73" s="1553">
        <f>O73*30.126/1000</f>
        <v>241.008</v>
      </c>
      <c r="Q73" s="985">
        <v>8000</v>
      </c>
      <c r="R73" s="986">
        <f>Q73*30.126/1000</f>
        <v>241.008</v>
      </c>
      <c r="S73" s="2291"/>
      <c r="T73" s="249"/>
      <c r="U73" s="249"/>
      <c r="V73" s="304"/>
    </row>
    <row r="74" spans="1:22" s="6" customFormat="1" ht="15" customHeight="1">
      <c r="A74" s="102"/>
      <c r="B74" s="945" t="s">
        <v>948</v>
      </c>
      <c r="C74" s="803">
        <v>243</v>
      </c>
      <c r="D74" s="1524">
        <v>289</v>
      </c>
      <c r="E74" s="772">
        <v>8931</v>
      </c>
      <c r="F74" s="139">
        <f>(E74*30.126)/1000</f>
        <v>269.055306</v>
      </c>
      <c r="G74" s="446">
        <v>9500</v>
      </c>
      <c r="H74" s="354">
        <f>G74*30.126/1000</f>
        <v>286.197</v>
      </c>
      <c r="I74" s="249">
        <v>9500</v>
      </c>
      <c r="J74" s="249">
        <f>I74*30.126/1000</f>
        <v>286.197</v>
      </c>
      <c r="K74" s="249">
        <v>9500</v>
      </c>
      <c r="L74" s="249">
        <f>K74*30.126/1000</f>
        <v>286.197</v>
      </c>
      <c r="M74" s="249">
        <v>9500</v>
      </c>
      <c r="N74" s="249">
        <f>M74*30.126/1000</f>
        <v>286.197</v>
      </c>
      <c r="O74" s="249">
        <v>9500</v>
      </c>
      <c r="P74" s="1553">
        <f>O74*30.126/1000</f>
        <v>286.197</v>
      </c>
      <c r="Q74" s="985">
        <v>9500</v>
      </c>
      <c r="R74" s="986">
        <f>Q74*30.126/1000</f>
        <v>286.197</v>
      </c>
      <c r="S74" s="2291"/>
      <c r="T74" s="249"/>
      <c r="U74" s="249"/>
      <c r="V74" s="304"/>
    </row>
    <row r="75" spans="1:22" s="6" customFormat="1" ht="15" customHeight="1" thickBot="1">
      <c r="A75" s="105"/>
      <c r="B75" s="955" t="s">
        <v>949</v>
      </c>
      <c r="C75" s="865"/>
      <c r="D75" s="2367"/>
      <c r="E75" s="2374">
        <v>664</v>
      </c>
      <c r="F75" s="380">
        <f>(E75*30.126)/1000</f>
        <v>20.003664</v>
      </c>
      <c r="G75" s="537">
        <v>500</v>
      </c>
      <c r="H75" s="526">
        <f>G75*30.126/1000</f>
        <v>15.063</v>
      </c>
      <c r="I75" s="280"/>
      <c r="J75" s="280"/>
      <c r="K75" s="280">
        <v>500</v>
      </c>
      <c r="L75" s="280">
        <f>K75*30.126/1000</f>
        <v>15.063</v>
      </c>
      <c r="M75" s="280">
        <v>500</v>
      </c>
      <c r="N75" s="280">
        <f>M75*30.126/1000</f>
        <v>15.063</v>
      </c>
      <c r="O75" s="280"/>
      <c r="P75" s="1578"/>
      <c r="Q75" s="2490"/>
      <c r="R75" s="2491"/>
      <c r="S75" s="2386"/>
      <c r="T75" s="280"/>
      <c r="U75" s="280"/>
      <c r="V75" s="528"/>
    </row>
    <row r="76" ht="19.5" customHeight="1" thickBot="1"/>
    <row r="77" spans="1:22" s="23" customFormat="1" ht="39.75" customHeight="1" thickTop="1">
      <c r="A77" s="2884"/>
      <c r="B77" s="2936"/>
      <c r="C77" s="544" t="s">
        <v>506</v>
      </c>
      <c r="D77" s="2112" t="s">
        <v>507</v>
      </c>
      <c r="E77" s="2890" t="s">
        <v>184</v>
      </c>
      <c r="F77" s="2891"/>
      <c r="G77" s="1101" t="s">
        <v>510</v>
      </c>
      <c r="H77" s="1001" t="s">
        <v>510</v>
      </c>
      <c r="I77" s="826" t="s">
        <v>88</v>
      </c>
      <c r="J77" s="826" t="s">
        <v>87</v>
      </c>
      <c r="K77" s="2871" t="s">
        <v>509</v>
      </c>
      <c r="L77" s="2871"/>
      <c r="M77" s="2871" t="s">
        <v>508</v>
      </c>
      <c r="N77" s="2871"/>
      <c r="O77" s="824" t="s">
        <v>952</v>
      </c>
      <c r="P77" s="1579" t="s">
        <v>952</v>
      </c>
      <c r="Q77" s="2932" t="s">
        <v>183</v>
      </c>
      <c r="R77" s="2933"/>
      <c r="S77" s="2880" t="s">
        <v>725</v>
      </c>
      <c r="T77" s="2877"/>
      <c r="U77" s="2877" t="s">
        <v>726</v>
      </c>
      <c r="V77" s="2879"/>
    </row>
    <row r="78" spans="1:22" s="24" customFormat="1" ht="15" customHeight="1" thickBot="1">
      <c r="A78" s="2886"/>
      <c r="B78" s="2937"/>
      <c r="C78" s="545" t="s">
        <v>966</v>
      </c>
      <c r="D78" s="2304" t="s">
        <v>966</v>
      </c>
      <c r="E78" s="768" t="s">
        <v>435</v>
      </c>
      <c r="F78" s="307" t="s">
        <v>966</v>
      </c>
      <c r="G78" s="571" t="s">
        <v>435</v>
      </c>
      <c r="H78" s="238" t="s">
        <v>966</v>
      </c>
      <c r="I78" s="239" t="s">
        <v>435</v>
      </c>
      <c r="J78" s="239" t="s">
        <v>966</v>
      </c>
      <c r="K78" s="239" t="s">
        <v>435</v>
      </c>
      <c r="L78" s="239" t="s">
        <v>966</v>
      </c>
      <c r="M78" s="239" t="s">
        <v>435</v>
      </c>
      <c r="N78" s="239" t="s">
        <v>966</v>
      </c>
      <c r="O78" s="996" t="s">
        <v>435</v>
      </c>
      <c r="P78" s="1580" t="s">
        <v>966</v>
      </c>
      <c r="Q78" s="2329" t="s">
        <v>435</v>
      </c>
      <c r="R78" s="1004" t="s">
        <v>966</v>
      </c>
      <c r="S78" s="2117" t="s">
        <v>435</v>
      </c>
      <c r="T78" s="239" t="s">
        <v>966</v>
      </c>
      <c r="U78" s="239" t="s">
        <v>435</v>
      </c>
      <c r="V78" s="307" t="s">
        <v>966</v>
      </c>
    </row>
    <row r="79" spans="1:22" s="420" customFormat="1" ht="19.5" customHeight="1">
      <c r="A79" s="1776" t="s">
        <v>752</v>
      </c>
      <c r="B79" s="1175" t="s">
        <v>318</v>
      </c>
      <c r="C79" s="1015">
        <f>C82+C91</f>
        <v>1183</v>
      </c>
      <c r="D79" s="1507">
        <f aca="true" t="shared" si="27" ref="D79:N79">D82+D91</f>
        <v>1447</v>
      </c>
      <c r="E79" s="1018">
        <f t="shared" si="27"/>
        <v>35042</v>
      </c>
      <c r="F79" s="1017">
        <f t="shared" si="27"/>
        <v>1055.675292</v>
      </c>
      <c r="G79" s="1102">
        <f t="shared" si="27"/>
        <v>992295</v>
      </c>
      <c r="H79" s="1015">
        <f t="shared" si="27"/>
        <v>29893.87917</v>
      </c>
      <c r="I79" s="1016">
        <f t="shared" si="27"/>
        <v>992295</v>
      </c>
      <c r="J79" s="1016">
        <f t="shared" si="27"/>
        <v>29893.87917</v>
      </c>
      <c r="K79" s="1016">
        <f t="shared" si="27"/>
        <v>990676</v>
      </c>
      <c r="L79" s="1016">
        <f t="shared" si="27"/>
        <v>28837.36035</v>
      </c>
      <c r="M79" s="1016">
        <f t="shared" si="27"/>
        <v>50251</v>
      </c>
      <c r="N79" s="1016">
        <f t="shared" si="27"/>
        <v>506.1168</v>
      </c>
      <c r="O79" s="1016">
        <f aca="true" t="shared" si="28" ref="O79:P81">O82+O91</f>
        <v>992295</v>
      </c>
      <c r="P79" s="1507">
        <f t="shared" si="28"/>
        <v>29893.87917</v>
      </c>
      <c r="Q79" s="2330">
        <f aca="true" t="shared" si="29" ref="Q79:R81">Q82+Q91</f>
        <v>992295</v>
      </c>
      <c r="R79" s="2331">
        <f t="shared" si="29"/>
        <v>29893.87917</v>
      </c>
      <c r="S79" s="1013">
        <f aca="true" t="shared" si="30" ref="S79:V81">S82+S91</f>
        <v>990676</v>
      </c>
      <c r="T79" s="1016">
        <f t="shared" si="30"/>
        <v>29845.105175999997</v>
      </c>
      <c r="U79" s="1016">
        <f t="shared" si="30"/>
        <v>50251</v>
      </c>
      <c r="V79" s="1017">
        <f t="shared" si="30"/>
        <v>1513.861626</v>
      </c>
    </row>
    <row r="80" spans="1:22" s="30" customFormat="1" ht="15" customHeight="1">
      <c r="A80" s="1020"/>
      <c r="B80" s="1181" t="s">
        <v>7</v>
      </c>
      <c r="C80" s="1024">
        <f>C83+C92</f>
        <v>91</v>
      </c>
      <c r="D80" s="1508">
        <f aca="true" t="shared" si="31" ref="D80:N80">D83+D92</f>
        <v>713</v>
      </c>
      <c r="E80" s="1027">
        <f t="shared" si="31"/>
        <v>6042</v>
      </c>
      <c r="F80" s="1026">
        <f t="shared" si="31"/>
        <v>182.02129200000002</v>
      </c>
      <c r="G80" s="369">
        <f t="shared" si="31"/>
        <v>61330</v>
      </c>
      <c r="H80" s="1024">
        <f t="shared" si="31"/>
        <v>1847.62758</v>
      </c>
      <c r="I80" s="1025">
        <f t="shared" si="31"/>
        <v>61330</v>
      </c>
      <c r="J80" s="1025">
        <f t="shared" si="31"/>
        <v>1847.62758</v>
      </c>
      <c r="K80" s="1025">
        <f t="shared" si="31"/>
        <v>59781</v>
      </c>
      <c r="L80" s="1025">
        <f t="shared" si="31"/>
        <v>1636.74558</v>
      </c>
      <c r="M80" s="1025">
        <f t="shared" si="31"/>
        <v>6251</v>
      </c>
      <c r="N80" s="1025">
        <f t="shared" si="31"/>
        <v>24.1008</v>
      </c>
      <c r="O80" s="1025">
        <f t="shared" si="28"/>
        <v>61330</v>
      </c>
      <c r="P80" s="1508">
        <f t="shared" si="28"/>
        <v>1847.62758</v>
      </c>
      <c r="Q80" s="2332">
        <f t="shared" si="29"/>
        <v>61330</v>
      </c>
      <c r="R80" s="2333">
        <f t="shared" si="29"/>
        <v>1847.62758</v>
      </c>
      <c r="S80" s="1022">
        <f t="shared" si="30"/>
        <v>59781</v>
      </c>
      <c r="T80" s="1025">
        <f t="shared" si="30"/>
        <v>1800.962406</v>
      </c>
      <c r="U80" s="1025">
        <f t="shared" si="30"/>
        <v>6251</v>
      </c>
      <c r="V80" s="1026">
        <f t="shared" si="30"/>
        <v>188.317626</v>
      </c>
    </row>
    <row r="81" spans="1:22" s="49" customFormat="1" ht="15" customHeight="1">
      <c r="A81" s="1029"/>
      <c r="B81" s="1187" t="s">
        <v>8</v>
      </c>
      <c r="C81" s="1033">
        <f>C84+C93</f>
        <v>831</v>
      </c>
      <c r="D81" s="1509">
        <f aca="true" t="shared" si="32" ref="D81:N81">D84+D93</f>
        <v>734</v>
      </c>
      <c r="E81" s="1036">
        <f t="shared" si="32"/>
        <v>29000</v>
      </c>
      <c r="F81" s="1035">
        <f t="shared" si="32"/>
        <v>873.654</v>
      </c>
      <c r="G81" s="1082">
        <f t="shared" si="32"/>
        <v>930965</v>
      </c>
      <c r="H81" s="1033">
        <f t="shared" si="32"/>
        <v>28046.25159</v>
      </c>
      <c r="I81" s="1034">
        <f t="shared" si="32"/>
        <v>930965</v>
      </c>
      <c r="J81" s="1034">
        <f t="shared" si="32"/>
        <v>28046.25159</v>
      </c>
      <c r="K81" s="1034">
        <f t="shared" si="32"/>
        <v>930895</v>
      </c>
      <c r="L81" s="1034">
        <f t="shared" si="32"/>
        <v>27200.61477</v>
      </c>
      <c r="M81" s="1034">
        <f t="shared" si="32"/>
        <v>44000</v>
      </c>
      <c r="N81" s="1034">
        <f t="shared" si="32"/>
        <v>482.016</v>
      </c>
      <c r="O81" s="1034">
        <f t="shared" si="28"/>
        <v>930965</v>
      </c>
      <c r="P81" s="1509">
        <f t="shared" si="28"/>
        <v>28046.25159</v>
      </c>
      <c r="Q81" s="2334">
        <f t="shared" si="29"/>
        <v>930965</v>
      </c>
      <c r="R81" s="2335">
        <f t="shared" si="29"/>
        <v>28046.25159</v>
      </c>
      <c r="S81" s="1031">
        <f t="shared" si="30"/>
        <v>930895</v>
      </c>
      <c r="T81" s="1034">
        <f t="shared" si="30"/>
        <v>28044.142770000002</v>
      </c>
      <c r="U81" s="1034">
        <f t="shared" si="30"/>
        <v>44000</v>
      </c>
      <c r="V81" s="1035">
        <f t="shared" si="30"/>
        <v>1325.544</v>
      </c>
    </row>
    <row r="82" spans="1:22" s="49" customFormat="1" ht="15" customHeight="1">
      <c r="A82" s="1038"/>
      <c r="B82" s="1193" t="s">
        <v>965</v>
      </c>
      <c r="C82" s="1042">
        <f>C85+C88</f>
        <v>922</v>
      </c>
      <c r="D82" s="1510">
        <f aca="true" t="shared" si="33" ref="D82:N82">D85+D88</f>
        <v>1447</v>
      </c>
      <c r="E82" s="1045">
        <f t="shared" si="33"/>
        <v>31722</v>
      </c>
      <c r="F82" s="1044">
        <f t="shared" si="33"/>
        <v>955.656972</v>
      </c>
      <c r="G82" s="1083">
        <f t="shared" si="33"/>
        <v>51870</v>
      </c>
      <c r="H82" s="1042">
        <f t="shared" si="33"/>
        <v>1562.63562</v>
      </c>
      <c r="I82" s="1043">
        <f t="shared" si="33"/>
        <v>51870</v>
      </c>
      <c r="J82" s="1043">
        <f t="shared" si="33"/>
        <v>1562.63562</v>
      </c>
      <c r="K82" s="1043">
        <f t="shared" si="33"/>
        <v>50251</v>
      </c>
      <c r="L82" s="1043">
        <f t="shared" si="33"/>
        <v>506.1168</v>
      </c>
      <c r="M82" s="1043">
        <f t="shared" si="33"/>
        <v>50251</v>
      </c>
      <c r="N82" s="1043">
        <f t="shared" si="33"/>
        <v>506.1168</v>
      </c>
      <c r="O82" s="1043">
        <f aca="true" t="shared" si="34" ref="O82:P84">O85+O88</f>
        <v>51870</v>
      </c>
      <c r="P82" s="1510">
        <f t="shared" si="34"/>
        <v>1562.63562</v>
      </c>
      <c r="Q82" s="2336">
        <f aca="true" t="shared" si="35" ref="Q82:R84">Q85+Q88</f>
        <v>51870</v>
      </c>
      <c r="R82" s="2337">
        <f t="shared" si="35"/>
        <v>1562.63562</v>
      </c>
      <c r="S82" s="1040">
        <f aca="true" t="shared" si="36" ref="S82:V84">S85+S88</f>
        <v>50251</v>
      </c>
      <c r="T82" s="1043">
        <f t="shared" si="36"/>
        <v>1513.861626</v>
      </c>
      <c r="U82" s="1043">
        <f t="shared" si="36"/>
        <v>50251</v>
      </c>
      <c r="V82" s="1044">
        <f t="shared" si="36"/>
        <v>1513.861626</v>
      </c>
    </row>
    <row r="83" spans="1:22" s="30" customFormat="1" ht="15" customHeight="1">
      <c r="A83" s="1020"/>
      <c r="B83" s="1181" t="s">
        <v>7</v>
      </c>
      <c r="C83" s="1024">
        <f>C86+C89</f>
        <v>91</v>
      </c>
      <c r="D83" s="1508">
        <f aca="true" t="shared" si="37" ref="D83:N83">D86+D89</f>
        <v>713</v>
      </c>
      <c r="E83" s="1027">
        <f t="shared" si="37"/>
        <v>2722</v>
      </c>
      <c r="F83" s="1026">
        <f t="shared" si="37"/>
        <v>82.00297200000001</v>
      </c>
      <c r="G83" s="369">
        <f t="shared" si="37"/>
        <v>7800</v>
      </c>
      <c r="H83" s="1024">
        <f t="shared" si="37"/>
        <v>234.9828</v>
      </c>
      <c r="I83" s="1025">
        <f t="shared" si="37"/>
        <v>7800</v>
      </c>
      <c r="J83" s="1025">
        <f t="shared" si="37"/>
        <v>234.9828</v>
      </c>
      <c r="K83" s="1025">
        <f t="shared" si="37"/>
        <v>6251</v>
      </c>
      <c r="L83" s="1025">
        <f t="shared" si="37"/>
        <v>24.1008</v>
      </c>
      <c r="M83" s="1025">
        <f t="shared" si="37"/>
        <v>6251</v>
      </c>
      <c r="N83" s="1025">
        <f t="shared" si="37"/>
        <v>24.1008</v>
      </c>
      <c r="O83" s="1025">
        <f t="shared" si="34"/>
        <v>7800</v>
      </c>
      <c r="P83" s="1508">
        <f t="shared" si="34"/>
        <v>234.9828</v>
      </c>
      <c r="Q83" s="2332">
        <f t="shared" si="35"/>
        <v>7800</v>
      </c>
      <c r="R83" s="2333">
        <f t="shared" si="35"/>
        <v>234.9828</v>
      </c>
      <c r="S83" s="1022">
        <f t="shared" si="36"/>
        <v>6251</v>
      </c>
      <c r="T83" s="1025">
        <f t="shared" si="36"/>
        <v>188.317626</v>
      </c>
      <c r="U83" s="1025">
        <f t="shared" si="36"/>
        <v>6251</v>
      </c>
      <c r="V83" s="1026">
        <f t="shared" si="36"/>
        <v>188.317626</v>
      </c>
    </row>
    <row r="84" spans="1:22" s="49" customFormat="1" ht="15" customHeight="1">
      <c r="A84" s="1047"/>
      <c r="B84" s="1199" t="s">
        <v>8</v>
      </c>
      <c r="C84" s="1051">
        <f>C87+C90</f>
        <v>831</v>
      </c>
      <c r="D84" s="1511">
        <f aca="true" t="shared" si="38" ref="D84:N84">D87+D90</f>
        <v>734</v>
      </c>
      <c r="E84" s="1054">
        <f t="shared" si="38"/>
        <v>29000</v>
      </c>
      <c r="F84" s="1053">
        <f t="shared" si="38"/>
        <v>873.654</v>
      </c>
      <c r="G84" s="1084">
        <f t="shared" si="38"/>
        <v>44070</v>
      </c>
      <c r="H84" s="1051">
        <f t="shared" si="38"/>
        <v>1327.65282</v>
      </c>
      <c r="I84" s="1052">
        <f t="shared" si="38"/>
        <v>44070</v>
      </c>
      <c r="J84" s="1052">
        <f t="shared" si="38"/>
        <v>1327.65282</v>
      </c>
      <c r="K84" s="1052">
        <f t="shared" si="38"/>
        <v>44000</v>
      </c>
      <c r="L84" s="1052">
        <f t="shared" si="38"/>
        <v>482.016</v>
      </c>
      <c r="M84" s="1052">
        <f t="shared" si="38"/>
        <v>44000</v>
      </c>
      <c r="N84" s="1052">
        <f t="shared" si="38"/>
        <v>482.016</v>
      </c>
      <c r="O84" s="1052">
        <f t="shared" si="34"/>
        <v>44070</v>
      </c>
      <c r="P84" s="1511">
        <f t="shared" si="34"/>
        <v>1327.65282</v>
      </c>
      <c r="Q84" s="2338">
        <f t="shared" si="35"/>
        <v>44070</v>
      </c>
      <c r="R84" s="2339">
        <f t="shared" si="35"/>
        <v>1327.65282</v>
      </c>
      <c r="S84" s="1049">
        <f t="shared" si="36"/>
        <v>44000</v>
      </c>
      <c r="T84" s="1052">
        <f t="shared" si="36"/>
        <v>1325.544</v>
      </c>
      <c r="U84" s="1052">
        <f t="shared" si="36"/>
        <v>44000</v>
      </c>
      <c r="V84" s="1053">
        <f t="shared" si="36"/>
        <v>1325.544</v>
      </c>
    </row>
    <row r="85" spans="1:22" s="65" customFormat="1" ht="15" customHeight="1">
      <c r="A85" s="1252"/>
      <c r="B85" s="1253" t="s">
        <v>38</v>
      </c>
      <c r="C85" s="1254">
        <f aca="true" t="shared" si="39" ref="C85:N85">SUM(C86:C87)</f>
        <v>356</v>
      </c>
      <c r="D85" s="1789">
        <f t="shared" si="39"/>
        <v>707</v>
      </c>
      <c r="E85" s="1843">
        <f t="shared" si="39"/>
        <v>0</v>
      </c>
      <c r="F85" s="965">
        <f t="shared" si="39"/>
        <v>0</v>
      </c>
      <c r="G85" s="1141">
        <f t="shared" si="39"/>
        <v>16800</v>
      </c>
      <c r="H85" s="1096">
        <f t="shared" si="39"/>
        <v>506.1168</v>
      </c>
      <c r="I85" s="1097">
        <f t="shared" si="39"/>
        <v>16800</v>
      </c>
      <c r="J85" s="1097">
        <f t="shared" si="39"/>
        <v>506.1168</v>
      </c>
      <c r="K85" s="1097">
        <f t="shared" si="39"/>
        <v>16800</v>
      </c>
      <c r="L85" s="1097">
        <f t="shared" si="39"/>
        <v>506.1168</v>
      </c>
      <c r="M85" s="1097">
        <f t="shared" si="39"/>
        <v>16800</v>
      </c>
      <c r="N85" s="1097">
        <f t="shared" si="39"/>
        <v>506.1168</v>
      </c>
      <c r="O85" s="1097">
        <f aca="true" t="shared" si="40" ref="O85:V85">SUM(O86:O87)</f>
        <v>16800</v>
      </c>
      <c r="P85" s="1514">
        <f t="shared" si="40"/>
        <v>506.1168</v>
      </c>
      <c r="Q85" s="2340">
        <f t="shared" si="40"/>
        <v>16800</v>
      </c>
      <c r="R85" s="2341">
        <f t="shared" si="40"/>
        <v>506.1168</v>
      </c>
      <c r="S85" s="970">
        <f t="shared" si="40"/>
        <v>16800</v>
      </c>
      <c r="T85" s="1097">
        <f t="shared" si="40"/>
        <v>506.1168</v>
      </c>
      <c r="U85" s="1097">
        <f t="shared" si="40"/>
        <v>16800</v>
      </c>
      <c r="V85" s="965">
        <f t="shared" si="40"/>
        <v>506.1168</v>
      </c>
    </row>
    <row r="86" spans="1:22" s="6" customFormat="1" ht="15" customHeight="1">
      <c r="A86" s="1256"/>
      <c r="B86" s="1257" t="s">
        <v>340</v>
      </c>
      <c r="C86" s="36"/>
      <c r="D86" s="1524">
        <v>207</v>
      </c>
      <c r="E86" s="772"/>
      <c r="F86" s="139"/>
      <c r="G86" s="963">
        <v>800</v>
      </c>
      <c r="H86" s="35">
        <f>G86*30.126/1000</f>
        <v>24.1008</v>
      </c>
      <c r="I86" s="9">
        <v>800</v>
      </c>
      <c r="J86" s="9">
        <f>I86*30.126/1000</f>
        <v>24.1008</v>
      </c>
      <c r="K86" s="9">
        <v>800</v>
      </c>
      <c r="L86" s="9">
        <f>K86*30.126/1000</f>
        <v>24.1008</v>
      </c>
      <c r="M86" s="9">
        <v>800</v>
      </c>
      <c r="N86" s="9">
        <f>M86*30.126/1000</f>
        <v>24.1008</v>
      </c>
      <c r="O86" s="9">
        <v>800</v>
      </c>
      <c r="P86" s="382">
        <f>O86*30.126/1000</f>
        <v>24.1008</v>
      </c>
      <c r="Q86" s="2342">
        <v>800</v>
      </c>
      <c r="R86" s="253">
        <f>Q86*30.126/1000</f>
        <v>24.1008</v>
      </c>
      <c r="S86" s="782">
        <v>800</v>
      </c>
      <c r="T86" s="9">
        <f>S86*30.126/1000</f>
        <v>24.1008</v>
      </c>
      <c r="U86" s="9">
        <v>800</v>
      </c>
      <c r="V86" s="139">
        <f>U86*30.126/1000</f>
        <v>24.1008</v>
      </c>
    </row>
    <row r="87" spans="1:22" s="11" customFormat="1" ht="15" customHeight="1">
      <c r="A87" s="1258"/>
      <c r="B87" s="1259" t="s">
        <v>341</v>
      </c>
      <c r="C87" s="1260">
        <v>356</v>
      </c>
      <c r="D87" s="2637">
        <v>500</v>
      </c>
      <c r="E87" s="2650"/>
      <c r="F87" s="1129"/>
      <c r="G87" s="1127">
        <v>16000</v>
      </c>
      <c r="H87" s="1126">
        <f>G87*30.126/1000</f>
        <v>482.016</v>
      </c>
      <c r="I87" s="1128">
        <v>16000</v>
      </c>
      <c r="J87" s="1128">
        <f>I87*30.126/1000</f>
        <v>482.016</v>
      </c>
      <c r="K87" s="1128">
        <v>16000</v>
      </c>
      <c r="L87" s="1128">
        <f>K87*30.126/1000</f>
        <v>482.016</v>
      </c>
      <c r="M87" s="1128">
        <v>16000</v>
      </c>
      <c r="N87" s="1128">
        <f>M87*30.126/1000</f>
        <v>482.016</v>
      </c>
      <c r="O87" s="1128">
        <v>16000</v>
      </c>
      <c r="P87" s="1585">
        <f>O87*30.126/1000</f>
        <v>482.016</v>
      </c>
      <c r="Q87" s="2665">
        <v>16000</v>
      </c>
      <c r="R87" s="2666">
        <f>Q87*30.126/1000</f>
        <v>482.016</v>
      </c>
      <c r="S87" s="2653">
        <v>16000</v>
      </c>
      <c r="T87" s="1128">
        <f>S87*30.126/1000</f>
        <v>482.016</v>
      </c>
      <c r="U87" s="1128">
        <v>16000</v>
      </c>
      <c r="V87" s="1129">
        <f>U87*30.126/1000</f>
        <v>482.016</v>
      </c>
    </row>
    <row r="88" spans="1:22" s="65" customFormat="1" ht="15" customHeight="1">
      <c r="A88" s="1261"/>
      <c r="B88" s="1253" t="s">
        <v>405</v>
      </c>
      <c r="C88" s="1262">
        <f aca="true" t="shared" si="41" ref="C88:N88">SUM(C89:C90)</f>
        <v>566</v>
      </c>
      <c r="D88" s="2638">
        <f t="shared" si="41"/>
        <v>740</v>
      </c>
      <c r="E88" s="2651">
        <f t="shared" si="41"/>
        <v>31722</v>
      </c>
      <c r="F88" s="1753">
        <f t="shared" si="41"/>
        <v>955.656972</v>
      </c>
      <c r="G88" s="1264">
        <f t="shared" si="41"/>
        <v>35070</v>
      </c>
      <c r="H88" s="1263">
        <f t="shared" si="41"/>
        <v>1056.51882</v>
      </c>
      <c r="I88" s="1265">
        <f t="shared" si="41"/>
        <v>35070</v>
      </c>
      <c r="J88" s="1265">
        <f t="shared" si="41"/>
        <v>1056.51882</v>
      </c>
      <c r="K88" s="1265">
        <f t="shared" si="41"/>
        <v>33451</v>
      </c>
      <c r="L88" s="1265">
        <f t="shared" si="41"/>
        <v>0</v>
      </c>
      <c r="M88" s="1265">
        <f t="shared" si="41"/>
        <v>33451</v>
      </c>
      <c r="N88" s="1265">
        <f t="shared" si="41"/>
        <v>0</v>
      </c>
      <c r="O88" s="1265">
        <f aca="true" t="shared" si="42" ref="O88:V88">SUM(O89:O90)</f>
        <v>35070</v>
      </c>
      <c r="P88" s="1644">
        <f t="shared" si="42"/>
        <v>1056.51882</v>
      </c>
      <c r="Q88" s="2667">
        <f t="shared" si="42"/>
        <v>35070</v>
      </c>
      <c r="R88" s="2668">
        <f t="shared" si="42"/>
        <v>1056.51882</v>
      </c>
      <c r="S88" s="2654">
        <f t="shared" si="42"/>
        <v>33451</v>
      </c>
      <c r="T88" s="1265">
        <f t="shared" si="42"/>
        <v>1007.744826</v>
      </c>
      <c r="U88" s="1265">
        <f t="shared" si="42"/>
        <v>33451</v>
      </c>
      <c r="V88" s="1753">
        <f t="shared" si="42"/>
        <v>1007.744826</v>
      </c>
    </row>
    <row r="89" spans="1:22" s="6" customFormat="1" ht="15" customHeight="1">
      <c r="A89" s="1256"/>
      <c r="B89" s="1257" t="s">
        <v>340</v>
      </c>
      <c r="C89" s="36">
        <v>91</v>
      </c>
      <c r="D89" s="1524">
        <v>506</v>
      </c>
      <c r="E89" s="772">
        <v>2722</v>
      </c>
      <c r="F89" s="139">
        <f>(E89*30.126)/1000</f>
        <v>82.00297200000001</v>
      </c>
      <c r="G89" s="963">
        <v>7000</v>
      </c>
      <c r="H89" s="35">
        <f>G89*30.126/1000</f>
        <v>210.882</v>
      </c>
      <c r="I89" s="9">
        <v>7000</v>
      </c>
      <c r="J89" s="9">
        <f>I89*30.126/1000</f>
        <v>210.882</v>
      </c>
      <c r="K89" s="9">
        <v>5451</v>
      </c>
      <c r="L89" s="9"/>
      <c r="M89" s="9">
        <v>5451</v>
      </c>
      <c r="N89" s="9"/>
      <c r="O89" s="9">
        <v>7000</v>
      </c>
      <c r="P89" s="382">
        <f>O89*30.126/1000</f>
        <v>210.882</v>
      </c>
      <c r="Q89" s="2342">
        <v>7000</v>
      </c>
      <c r="R89" s="253">
        <f>Q89*30.126/1000</f>
        <v>210.882</v>
      </c>
      <c r="S89" s="782">
        <v>5451</v>
      </c>
      <c r="T89" s="9">
        <f>S89*30.126/1000</f>
        <v>164.216826</v>
      </c>
      <c r="U89" s="9">
        <v>5451</v>
      </c>
      <c r="V89" s="139">
        <f>U89*30.126/1000</f>
        <v>164.216826</v>
      </c>
    </row>
    <row r="90" spans="1:22" s="11" customFormat="1" ht="15" customHeight="1">
      <c r="A90" s="1258"/>
      <c r="B90" s="1259" t="s">
        <v>341</v>
      </c>
      <c r="C90" s="594">
        <v>475</v>
      </c>
      <c r="D90" s="2530">
        <v>234</v>
      </c>
      <c r="E90" s="1754">
        <v>29000</v>
      </c>
      <c r="F90" s="1116">
        <f>(E90*30.126)/1000</f>
        <v>873.654</v>
      </c>
      <c r="G90" s="1114">
        <v>28070</v>
      </c>
      <c r="H90" s="1126">
        <f>G90*30.126/1000</f>
        <v>845.6368200000001</v>
      </c>
      <c r="I90" s="1115">
        <v>28070</v>
      </c>
      <c r="J90" s="1128">
        <f>I90*30.126/1000</f>
        <v>845.6368200000001</v>
      </c>
      <c r="K90" s="1115">
        <v>28000</v>
      </c>
      <c r="L90" s="1115"/>
      <c r="M90" s="1115">
        <v>28000</v>
      </c>
      <c r="N90" s="1115"/>
      <c r="O90" s="1115">
        <v>28070</v>
      </c>
      <c r="P90" s="1585">
        <f>O90*30.126/1000</f>
        <v>845.6368200000001</v>
      </c>
      <c r="Q90" s="2669">
        <v>28070</v>
      </c>
      <c r="R90" s="2666">
        <f>Q90*30.126/1000</f>
        <v>845.6368200000001</v>
      </c>
      <c r="S90" s="2599">
        <v>28000</v>
      </c>
      <c r="T90" s="1128">
        <f>S90*30.126/1000</f>
        <v>843.528</v>
      </c>
      <c r="U90" s="1115">
        <v>28000</v>
      </c>
      <c r="V90" s="1129">
        <f>U90*30.126/1000</f>
        <v>843.528</v>
      </c>
    </row>
    <row r="91" spans="1:22" s="49" customFormat="1" ht="15" customHeight="1">
      <c r="A91" s="1038"/>
      <c r="B91" s="1193" t="s">
        <v>967</v>
      </c>
      <c r="C91" s="1042">
        <f>C94</f>
        <v>261</v>
      </c>
      <c r="D91" s="1510">
        <f aca="true" t="shared" si="43" ref="D91:N91">D94</f>
        <v>0</v>
      </c>
      <c r="E91" s="1045">
        <f t="shared" si="43"/>
        <v>3320</v>
      </c>
      <c r="F91" s="1044">
        <f t="shared" si="43"/>
        <v>100.01832</v>
      </c>
      <c r="G91" s="1083">
        <f t="shared" si="43"/>
        <v>940425</v>
      </c>
      <c r="H91" s="1042">
        <f t="shared" si="43"/>
        <v>28331.24355</v>
      </c>
      <c r="I91" s="1043">
        <f t="shared" si="43"/>
        <v>940425</v>
      </c>
      <c r="J91" s="1043">
        <f t="shared" si="43"/>
        <v>28331.24355</v>
      </c>
      <c r="K91" s="1043">
        <f t="shared" si="43"/>
        <v>940425</v>
      </c>
      <c r="L91" s="1043">
        <f t="shared" si="43"/>
        <v>28331.24355</v>
      </c>
      <c r="M91" s="1043">
        <f t="shared" si="43"/>
        <v>0</v>
      </c>
      <c r="N91" s="1043">
        <f t="shared" si="43"/>
        <v>0</v>
      </c>
      <c r="O91" s="1043">
        <f aca="true" t="shared" si="44" ref="O91:P93">O94</f>
        <v>940425</v>
      </c>
      <c r="P91" s="1510">
        <f t="shared" si="44"/>
        <v>28331.24355</v>
      </c>
      <c r="Q91" s="2336">
        <f aca="true" t="shared" si="45" ref="Q91:R93">Q94</f>
        <v>940425</v>
      </c>
      <c r="R91" s="2337">
        <f t="shared" si="45"/>
        <v>28331.24355</v>
      </c>
      <c r="S91" s="1040">
        <f aca="true" t="shared" si="46" ref="S91:V93">S94</f>
        <v>940425</v>
      </c>
      <c r="T91" s="1043">
        <f t="shared" si="46"/>
        <v>28331.24355</v>
      </c>
      <c r="U91" s="1043">
        <f t="shared" si="46"/>
        <v>0</v>
      </c>
      <c r="V91" s="1044">
        <f t="shared" si="46"/>
        <v>0</v>
      </c>
    </row>
    <row r="92" spans="1:22" s="30" customFormat="1" ht="15" customHeight="1">
      <c r="A92" s="1020"/>
      <c r="B92" s="1181" t="s">
        <v>7</v>
      </c>
      <c r="C92" s="1024">
        <f>C95</f>
        <v>0</v>
      </c>
      <c r="D92" s="1508">
        <f aca="true" t="shared" si="47" ref="D92:N92">D95</f>
        <v>0</v>
      </c>
      <c r="E92" s="1027">
        <f t="shared" si="47"/>
        <v>3320</v>
      </c>
      <c r="F92" s="1026">
        <f t="shared" si="47"/>
        <v>100.01832</v>
      </c>
      <c r="G92" s="369">
        <f t="shared" si="47"/>
        <v>53530</v>
      </c>
      <c r="H92" s="1024">
        <f t="shared" si="47"/>
        <v>1612.64478</v>
      </c>
      <c r="I92" s="1025">
        <f t="shared" si="47"/>
        <v>53530</v>
      </c>
      <c r="J92" s="1025">
        <f t="shared" si="47"/>
        <v>1612.64478</v>
      </c>
      <c r="K92" s="1025">
        <f t="shared" si="47"/>
        <v>53530</v>
      </c>
      <c r="L92" s="1025">
        <f t="shared" si="47"/>
        <v>1612.64478</v>
      </c>
      <c r="M92" s="1025">
        <f t="shared" si="47"/>
        <v>0</v>
      </c>
      <c r="N92" s="1025">
        <f t="shared" si="47"/>
        <v>0</v>
      </c>
      <c r="O92" s="1025">
        <f t="shared" si="44"/>
        <v>53530</v>
      </c>
      <c r="P92" s="1508">
        <f t="shared" si="44"/>
        <v>1612.64478</v>
      </c>
      <c r="Q92" s="2332">
        <f t="shared" si="45"/>
        <v>53530</v>
      </c>
      <c r="R92" s="2333">
        <f t="shared" si="45"/>
        <v>1612.64478</v>
      </c>
      <c r="S92" s="1022">
        <f t="shared" si="46"/>
        <v>53530</v>
      </c>
      <c r="T92" s="1025">
        <f t="shared" si="46"/>
        <v>1612.64478</v>
      </c>
      <c r="U92" s="1025">
        <f t="shared" si="46"/>
        <v>0</v>
      </c>
      <c r="V92" s="1026">
        <f t="shared" si="46"/>
        <v>0</v>
      </c>
    </row>
    <row r="93" spans="1:22" s="49" customFormat="1" ht="15" customHeight="1">
      <c r="A93" s="1047"/>
      <c r="B93" s="1199" t="s">
        <v>8</v>
      </c>
      <c r="C93" s="1051">
        <f>C96</f>
        <v>0</v>
      </c>
      <c r="D93" s="1511">
        <f aca="true" t="shared" si="48" ref="D93:N93">D96</f>
        <v>0</v>
      </c>
      <c r="E93" s="1054">
        <f t="shared" si="48"/>
        <v>0</v>
      </c>
      <c r="F93" s="1053">
        <f t="shared" si="48"/>
        <v>0</v>
      </c>
      <c r="G93" s="1084">
        <f t="shared" si="48"/>
        <v>886895</v>
      </c>
      <c r="H93" s="1051">
        <f t="shared" si="48"/>
        <v>26718.59877</v>
      </c>
      <c r="I93" s="1052">
        <f t="shared" si="48"/>
        <v>886895</v>
      </c>
      <c r="J93" s="1052">
        <f t="shared" si="48"/>
        <v>26718.59877</v>
      </c>
      <c r="K93" s="1052">
        <f t="shared" si="48"/>
        <v>886895</v>
      </c>
      <c r="L93" s="1052">
        <f t="shared" si="48"/>
        <v>26718.59877</v>
      </c>
      <c r="M93" s="1052">
        <f t="shared" si="48"/>
        <v>0</v>
      </c>
      <c r="N93" s="1052">
        <f t="shared" si="48"/>
        <v>0</v>
      </c>
      <c r="O93" s="1052">
        <f t="shared" si="44"/>
        <v>886895</v>
      </c>
      <c r="P93" s="1511">
        <f t="shared" si="44"/>
        <v>26718.59877</v>
      </c>
      <c r="Q93" s="2338">
        <f t="shared" si="45"/>
        <v>886895</v>
      </c>
      <c r="R93" s="2339">
        <f t="shared" si="45"/>
        <v>26718.59877</v>
      </c>
      <c r="S93" s="1049">
        <f t="shared" si="46"/>
        <v>886895</v>
      </c>
      <c r="T93" s="1052">
        <f t="shared" si="46"/>
        <v>26718.59877</v>
      </c>
      <c r="U93" s="1052">
        <f t="shared" si="46"/>
        <v>0</v>
      </c>
      <c r="V93" s="1053">
        <f t="shared" si="46"/>
        <v>0</v>
      </c>
    </row>
    <row r="94" spans="1:22" s="426" customFormat="1" ht="15" customHeight="1">
      <c r="A94" s="1266"/>
      <c r="B94" s="1267" t="s">
        <v>233</v>
      </c>
      <c r="C94" s="1268">
        <v>261</v>
      </c>
      <c r="D94" s="1645">
        <f>SUM(D95:D96)</f>
        <v>0</v>
      </c>
      <c r="E94" s="2652">
        <f>SUM(E95:E96)</f>
        <v>3320</v>
      </c>
      <c r="F94" s="1271">
        <f>SUM(F95:F96)</f>
        <v>100.01832</v>
      </c>
      <c r="G94" s="1269">
        <f aca="true" t="shared" si="49" ref="G94:N94">SUM(G95:G96)</f>
        <v>940425</v>
      </c>
      <c r="H94" s="1268">
        <f t="shared" si="49"/>
        <v>28331.24355</v>
      </c>
      <c r="I94" s="1270">
        <f t="shared" si="49"/>
        <v>940425</v>
      </c>
      <c r="J94" s="1270">
        <f t="shared" si="49"/>
        <v>28331.24355</v>
      </c>
      <c r="K94" s="1270">
        <f t="shared" si="49"/>
        <v>940425</v>
      </c>
      <c r="L94" s="1270">
        <f t="shared" si="49"/>
        <v>28331.24355</v>
      </c>
      <c r="M94" s="1270">
        <f t="shared" si="49"/>
        <v>0</v>
      </c>
      <c r="N94" s="1270">
        <f t="shared" si="49"/>
        <v>0</v>
      </c>
      <c r="O94" s="1270">
        <f aca="true" t="shared" si="50" ref="O94:V94">SUM(O95:O96)</f>
        <v>940425</v>
      </c>
      <c r="P94" s="1645">
        <f t="shared" si="50"/>
        <v>28331.24355</v>
      </c>
      <c r="Q94" s="2670">
        <f t="shared" si="50"/>
        <v>940425</v>
      </c>
      <c r="R94" s="2671">
        <f t="shared" si="50"/>
        <v>28331.24355</v>
      </c>
      <c r="S94" s="2655">
        <f t="shared" si="50"/>
        <v>940425</v>
      </c>
      <c r="T94" s="1270">
        <f t="shared" si="50"/>
        <v>28331.24355</v>
      </c>
      <c r="U94" s="1270">
        <f t="shared" si="50"/>
        <v>0</v>
      </c>
      <c r="V94" s="1271">
        <f t="shared" si="50"/>
        <v>0</v>
      </c>
    </row>
    <row r="95" spans="1:22" s="26" customFormat="1" ht="15" customHeight="1">
      <c r="A95" s="1272"/>
      <c r="B95" s="1257" t="s">
        <v>340</v>
      </c>
      <c r="C95" s="36"/>
      <c r="D95" s="1524"/>
      <c r="E95" s="861">
        <v>3320</v>
      </c>
      <c r="F95" s="207">
        <f>(E95*30.126)/1000</f>
        <v>100.01832</v>
      </c>
      <c r="G95" s="1273">
        <v>53530</v>
      </c>
      <c r="H95" s="38">
        <f>G95*30.126/1000</f>
        <v>1612.64478</v>
      </c>
      <c r="I95" s="14">
        <v>53530</v>
      </c>
      <c r="J95" s="14">
        <f>I95*30.126/1000</f>
        <v>1612.64478</v>
      </c>
      <c r="K95" s="14">
        <v>53530</v>
      </c>
      <c r="L95" s="14">
        <f>K95*30.126/1000</f>
        <v>1612.64478</v>
      </c>
      <c r="M95" s="14"/>
      <c r="N95" s="14"/>
      <c r="O95" s="14">
        <v>53530</v>
      </c>
      <c r="P95" s="1528">
        <f>O95*30.126/1000</f>
        <v>1612.64478</v>
      </c>
      <c r="Q95" s="2672">
        <v>53530</v>
      </c>
      <c r="R95" s="2673">
        <f>Q95*30.126/1000</f>
        <v>1612.64478</v>
      </c>
      <c r="S95" s="855">
        <v>53530</v>
      </c>
      <c r="T95" s="14">
        <f>S95*30.126/1000</f>
        <v>1612.64478</v>
      </c>
      <c r="U95" s="14"/>
      <c r="V95" s="207"/>
    </row>
    <row r="96" spans="1:22" s="25" customFormat="1" ht="15" customHeight="1" thickBot="1">
      <c r="A96" s="1274"/>
      <c r="B96" s="1275" t="s">
        <v>341</v>
      </c>
      <c r="C96" s="1276"/>
      <c r="D96" s="2639"/>
      <c r="E96" s="1836"/>
      <c r="F96" s="1282"/>
      <c r="G96" s="1279">
        <v>886895</v>
      </c>
      <c r="H96" s="1280">
        <f>G96*30.126/1000</f>
        <v>26718.59877</v>
      </c>
      <c r="I96" s="1281">
        <v>886895</v>
      </c>
      <c r="J96" s="1281">
        <f>I96*30.126/1000</f>
        <v>26718.59877</v>
      </c>
      <c r="K96" s="1281">
        <v>886895</v>
      </c>
      <c r="L96" s="1281">
        <f>K96*30.126/1000</f>
        <v>26718.59877</v>
      </c>
      <c r="M96" s="1281"/>
      <c r="N96" s="1281"/>
      <c r="O96" s="1281">
        <v>886895</v>
      </c>
      <c r="P96" s="1646">
        <f>O96*30.126/1000</f>
        <v>26718.59877</v>
      </c>
      <c r="Q96" s="2674">
        <v>886895</v>
      </c>
      <c r="R96" s="2675">
        <f>Q96*30.126/1000</f>
        <v>26718.59877</v>
      </c>
      <c r="S96" s="2379">
        <v>886895</v>
      </c>
      <c r="T96" s="1281">
        <f>S96*30.126/1000</f>
        <v>26718.59877</v>
      </c>
      <c r="U96" s="1281"/>
      <c r="V96" s="1282"/>
    </row>
    <row r="97" spans="1:4" s="6" customFormat="1" ht="19.5" customHeight="1" thickBot="1">
      <c r="A97" s="16"/>
      <c r="C97" s="275"/>
      <c r="D97" s="275"/>
    </row>
    <row r="98" spans="1:22" s="23" customFormat="1" ht="39.75" customHeight="1" thickTop="1">
      <c r="A98" s="2905"/>
      <c r="B98" s="2934"/>
      <c r="C98" s="539" t="s">
        <v>506</v>
      </c>
      <c r="D98" s="2314" t="s">
        <v>507</v>
      </c>
      <c r="E98" s="2839" t="s">
        <v>184</v>
      </c>
      <c r="F98" s="2840"/>
      <c r="G98" s="460" t="s">
        <v>510</v>
      </c>
      <c r="H98" s="496" t="s">
        <v>510</v>
      </c>
      <c r="I98" s="497" t="s">
        <v>87</v>
      </c>
      <c r="J98" s="497" t="s">
        <v>87</v>
      </c>
      <c r="K98" s="2870" t="s">
        <v>509</v>
      </c>
      <c r="L98" s="2870"/>
      <c r="M98" s="2870" t="s">
        <v>508</v>
      </c>
      <c r="N98" s="2870"/>
      <c r="O98" s="498" t="s">
        <v>952</v>
      </c>
      <c r="P98" s="1571" t="s">
        <v>952</v>
      </c>
      <c r="Q98" s="2901" t="s">
        <v>183</v>
      </c>
      <c r="R98" s="2902"/>
      <c r="S98" s="2892" t="s">
        <v>725</v>
      </c>
      <c r="T98" s="2875"/>
      <c r="U98" s="2875" t="s">
        <v>726</v>
      </c>
      <c r="V98" s="2878"/>
    </row>
    <row r="99" spans="1:22" s="24" customFormat="1" ht="15" customHeight="1" thickBot="1">
      <c r="A99" s="2907"/>
      <c r="B99" s="2935"/>
      <c r="C99" s="540" t="s">
        <v>966</v>
      </c>
      <c r="D99" s="2315" t="s">
        <v>966</v>
      </c>
      <c r="E99" s="2318" t="s">
        <v>435</v>
      </c>
      <c r="F99" s="2234" t="s">
        <v>966</v>
      </c>
      <c r="G99" s="461" t="s">
        <v>435</v>
      </c>
      <c r="H99" s="352" t="s">
        <v>966</v>
      </c>
      <c r="I99" s="647" t="s">
        <v>435</v>
      </c>
      <c r="J99" s="647" t="s">
        <v>966</v>
      </c>
      <c r="K99" s="241" t="s">
        <v>435</v>
      </c>
      <c r="L99" s="241" t="s">
        <v>966</v>
      </c>
      <c r="M99" s="241" t="s">
        <v>435</v>
      </c>
      <c r="N99" s="241" t="s">
        <v>966</v>
      </c>
      <c r="O99" s="500" t="s">
        <v>435</v>
      </c>
      <c r="P99" s="1572" t="s">
        <v>966</v>
      </c>
      <c r="Q99" s="240" t="s">
        <v>435</v>
      </c>
      <c r="R99" s="981" t="s">
        <v>966</v>
      </c>
      <c r="S99" s="797" t="s">
        <v>435</v>
      </c>
      <c r="T99" s="241" t="s">
        <v>966</v>
      </c>
      <c r="U99" s="241" t="s">
        <v>435</v>
      </c>
      <c r="V99" s="796" t="s">
        <v>966</v>
      </c>
    </row>
    <row r="100" spans="1:22" s="23" customFormat="1" ht="19.5" customHeight="1">
      <c r="A100" s="421" t="s">
        <v>352</v>
      </c>
      <c r="B100" s="793" t="s">
        <v>39</v>
      </c>
      <c r="C100" s="541">
        <f aca="true" t="shared" si="51" ref="C100:R100">C4+C79</f>
        <v>60536</v>
      </c>
      <c r="D100" s="1606">
        <f t="shared" si="51"/>
        <v>81556</v>
      </c>
      <c r="E100" s="2319">
        <f t="shared" si="51"/>
        <v>3513771</v>
      </c>
      <c r="F100" s="2320">
        <f t="shared" si="51"/>
        <v>105855.79966200002</v>
      </c>
      <c r="G100" s="493">
        <f t="shared" si="51"/>
        <v>3859275</v>
      </c>
      <c r="H100" s="502">
        <f t="shared" si="51"/>
        <v>116264.30445</v>
      </c>
      <c r="I100" s="487">
        <f t="shared" si="51"/>
        <v>3699764</v>
      </c>
      <c r="J100" s="487">
        <f t="shared" si="51"/>
        <v>111459.09026400001</v>
      </c>
      <c r="K100" s="487">
        <f t="shared" si="51"/>
        <v>4198412</v>
      </c>
      <c r="L100" s="487">
        <f t="shared" si="51"/>
        <v>125473.615086</v>
      </c>
      <c r="M100" s="487">
        <f t="shared" si="51"/>
        <v>3729684</v>
      </c>
      <c r="N100" s="487">
        <f t="shared" si="51"/>
        <v>111352.715358</v>
      </c>
      <c r="O100" s="487">
        <f t="shared" si="51"/>
        <v>3554284</v>
      </c>
      <c r="P100" s="1606">
        <f t="shared" si="51"/>
        <v>107076.35978400001</v>
      </c>
      <c r="Q100" s="555">
        <f t="shared" si="51"/>
        <v>4105106</v>
      </c>
      <c r="R100" s="488">
        <f t="shared" si="51"/>
        <v>123670.42335600001</v>
      </c>
      <c r="S100" s="541">
        <f>S4+S79</f>
        <v>4103487</v>
      </c>
      <c r="T100" s="487">
        <f>T4+T79</f>
        <v>123621.649362</v>
      </c>
      <c r="U100" s="487">
        <f>U4+U79</f>
        <v>3163062</v>
      </c>
      <c r="V100" s="503">
        <f>V4+V79</f>
        <v>95290.405812</v>
      </c>
    </row>
    <row r="101" spans="1:22" s="30" customFormat="1" ht="15" customHeight="1">
      <c r="A101" s="423"/>
      <c r="B101" s="794" t="s">
        <v>965</v>
      </c>
      <c r="C101" s="542">
        <f aca="true" t="shared" si="52" ref="C101:R101">C6+C27+C69+C82</f>
        <v>55777</v>
      </c>
      <c r="D101" s="1607">
        <f t="shared" si="52"/>
        <v>70227</v>
      </c>
      <c r="E101" s="2321">
        <f t="shared" si="52"/>
        <v>3170799</v>
      </c>
      <c r="F101" s="2322">
        <f t="shared" si="52"/>
        <v>95523.42519000001</v>
      </c>
      <c r="G101" s="494">
        <f t="shared" si="52"/>
        <v>2747901</v>
      </c>
      <c r="H101" s="504">
        <f t="shared" si="52"/>
        <v>82783.051326</v>
      </c>
      <c r="I101" s="489">
        <f t="shared" si="52"/>
        <v>2621584</v>
      </c>
      <c r="J101" s="489">
        <f t="shared" si="52"/>
        <v>78977.83958400002</v>
      </c>
      <c r="K101" s="489">
        <f t="shared" si="52"/>
        <v>3090358</v>
      </c>
      <c r="L101" s="489">
        <f t="shared" si="52"/>
        <v>92092.380282</v>
      </c>
      <c r="M101" s="489">
        <f t="shared" si="52"/>
        <v>3487368</v>
      </c>
      <c r="N101" s="489">
        <f t="shared" si="52"/>
        <v>104052.703542</v>
      </c>
      <c r="O101" s="489">
        <f t="shared" si="52"/>
        <v>2476104</v>
      </c>
      <c r="P101" s="1607">
        <f t="shared" si="52"/>
        <v>74595.10910400002</v>
      </c>
      <c r="Q101" s="556">
        <f t="shared" si="52"/>
        <v>3026926</v>
      </c>
      <c r="R101" s="490">
        <f t="shared" si="52"/>
        <v>91189.17267600002</v>
      </c>
      <c r="S101" s="542">
        <f>S6+S27+S69+S82</f>
        <v>3025307</v>
      </c>
      <c r="T101" s="489">
        <f>T6+T27+T69+T82</f>
        <v>91140.398682</v>
      </c>
      <c r="U101" s="489">
        <f>U6+U27+U69+U82</f>
        <v>3025307</v>
      </c>
      <c r="V101" s="505">
        <f>V6+V27+V69+V82</f>
        <v>91140.398682</v>
      </c>
    </row>
    <row r="102" spans="1:22" s="30" customFormat="1" ht="15" customHeight="1" thickBot="1">
      <c r="A102" s="485"/>
      <c r="B102" s="795" t="s">
        <v>967</v>
      </c>
      <c r="C102" s="543">
        <f>C46+C91</f>
        <v>4759</v>
      </c>
      <c r="D102" s="1608">
        <f aca="true" t="shared" si="53" ref="D102:N102">D46+D91</f>
        <v>11329</v>
      </c>
      <c r="E102" s="2323">
        <f t="shared" si="53"/>
        <v>342972</v>
      </c>
      <c r="F102" s="2324">
        <f t="shared" si="53"/>
        <v>10332.374472</v>
      </c>
      <c r="G102" s="495">
        <f t="shared" si="53"/>
        <v>1111374</v>
      </c>
      <c r="H102" s="506">
        <f t="shared" si="53"/>
        <v>33481.253123999995</v>
      </c>
      <c r="I102" s="491">
        <f t="shared" si="53"/>
        <v>1078180</v>
      </c>
      <c r="J102" s="491">
        <f t="shared" si="53"/>
        <v>32481.250679999997</v>
      </c>
      <c r="K102" s="491">
        <f t="shared" si="53"/>
        <v>1108054</v>
      </c>
      <c r="L102" s="491">
        <f t="shared" si="53"/>
        <v>33381.234804</v>
      </c>
      <c r="M102" s="491">
        <f t="shared" si="53"/>
        <v>242316</v>
      </c>
      <c r="N102" s="491">
        <f t="shared" si="53"/>
        <v>7300.011816</v>
      </c>
      <c r="O102" s="491">
        <f aca="true" t="shared" si="54" ref="O102:V102">O46+O91</f>
        <v>1078180</v>
      </c>
      <c r="P102" s="1608">
        <f t="shared" si="54"/>
        <v>32481.250679999997</v>
      </c>
      <c r="Q102" s="982">
        <f t="shared" si="54"/>
        <v>1078180</v>
      </c>
      <c r="R102" s="983">
        <f t="shared" si="54"/>
        <v>32481.250679999997</v>
      </c>
      <c r="S102" s="543">
        <f t="shared" si="54"/>
        <v>1078180</v>
      </c>
      <c r="T102" s="491">
        <f t="shared" si="54"/>
        <v>32481.250679999997</v>
      </c>
      <c r="U102" s="491">
        <f t="shared" si="54"/>
        <v>137755</v>
      </c>
      <c r="V102" s="507">
        <f t="shared" si="54"/>
        <v>4150.00713</v>
      </c>
    </row>
    <row r="105" spans="1:22" s="1" customFormat="1" ht="12.75" hidden="1">
      <c r="A105" s="962" t="s">
        <v>1142</v>
      </c>
      <c r="E105" s="2"/>
      <c r="F105" s="2"/>
      <c r="G105" s="2"/>
      <c r="H105" s="2"/>
      <c r="I105" s="409">
        <f>I107+I109+I112+I115+I116</f>
        <v>75012</v>
      </c>
      <c r="J105" s="409">
        <f aca="true" t="shared" si="55" ref="J105:P105">J107+J109+J112+J115+J116</f>
        <v>2260</v>
      </c>
      <c r="K105" s="409">
        <f t="shared" si="55"/>
        <v>0</v>
      </c>
      <c r="L105" s="409">
        <f t="shared" si="55"/>
        <v>0</v>
      </c>
      <c r="M105" s="409">
        <f t="shared" si="55"/>
        <v>0</v>
      </c>
      <c r="N105" s="409">
        <f t="shared" si="55"/>
        <v>0</v>
      </c>
      <c r="O105" s="409">
        <f t="shared" si="55"/>
        <v>220492</v>
      </c>
      <c r="P105" s="409">
        <f t="shared" si="55"/>
        <v>6642.73048</v>
      </c>
      <c r="Q105" s="409">
        <f>Q107+Q109+Q112+Q115+Q116</f>
        <v>220492</v>
      </c>
      <c r="R105" s="409">
        <f>R107+R109+R112+R115+R116</f>
        <v>6642.73048</v>
      </c>
      <c r="S105" s="409"/>
      <c r="T105" s="409"/>
      <c r="U105" s="409"/>
      <c r="V105" s="409"/>
    </row>
    <row r="106" spans="1:22" s="1" customFormat="1" ht="12.75" hidden="1">
      <c r="A106" s="76"/>
      <c r="E106" s="2"/>
      <c r="F106" s="2"/>
      <c r="G106" s="2"/>
      <c r="H106" s="2"/>
      <c r="I106" s="2"/>
      <c r="J106" s="2"/>
      <c r="K106" s="2"/>
      <c r="L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s="5" customFormat="1" ht="12.75" hidden="1">
      <c r="A107" s="956" t="s">
        <v>484</v>
      </c>
      <c r="B107" s="5" t="s">
        <v>968</v>
      </c>
      <c r="E107" s="409"/>
      <c r="F107" s="409"/>
      <c r="G107" s="409"/>
      <c r="H107" s="409"/>
      <c r="I107" s="409">
        <f>I108</f>
        <v>6400</v>
      </c>
      <c r="J107" s="409">
        <f aca="true" t="shared" si="56" ref="J107:R107">J108</f>
        <v>193</v>
      </c>
      <c r="K107" s="409">
        <f t="shared" si="56"/>
        <v>0</v>
      </c>
      <c r="L107" s="409">
        <f t="shared" si="56"/>
        <v>0</v>
      </c>
      <c r="M107" s="409">
        <f t="shared" si="56"/>
        <v>0</v>
      </c>
      <c r="N107" s="409">
        <f t="shared" si="56"/>
        <v>0</v>
      </c>
      <c r="O107" s="409">
        <f t="shared" si="56"/>
        <v>6400</v>
      </c>
      <c r="P107" s="409">
        <f t="shared" si="56"/>
        <v>193</v>
      </c>
      <c r="Q107" s="409">
        <f t="shared" si="56"/>
        <v>6400</v>
      </c>
      <c r="R107" s="409">
        <f t="shared" si="56"/>
        <v>193</v>
      </c>
      <c r="S107" s="409"/>
      <c r="T107" s="409"/>
      <c r="U107" s="409"/>
      <c r="V107" s="409"/>
    </row>
    <row r="108" spans="1:22" s="1" customFormat="1" ht="12.75" hidden="1">
      <c r="A108" s="76"/>
      <c r="B108" s="1" t="s">
        <v>1143</v>
      </c>
      <c r="E108" s="2"/>
      <c r="F108" s="2"/>
      <c r="G108" s="2"/>
      <c r="H108" s="2"/>
      <c r="I108" s="2">
        <v>6400</v>
      </c>
      <c r="J108" s="2">
        <v>193</v>
      </c>
      <c r="K108" s="2"/>
      <c r="L108" s="2"/>
      <c r="N108" s="2"/>
      <c r="O108" s="2">
        <v>6400</v>
      </c>
      <c r="P108" s="2">
        <v>193</v>
      </c>
      <c r="Q108" s="2">
        <v>6400</v>
      </c>
      <c r="R108" s="2">
        <v>193</v>
      </c>
      <c r="S108" s="2"/>
      <c r="T108" s="2"/>
      <c r="U108" s="2"/>
      <c r="V108" s="2"/>
    </row>
    <row r="109" spans="1:22" s="5" customFormat="1" ht="12.75" hidden="1">
      <c r="A109" s="956" t="s">
        <v>485</v>
      </c>
      <c r="B109" s="5" t="s">
        <v>990</v>
      </c>
      <c r="E109" s="409"/>
      <c r="F109" s="409"/>
      <c r="G109" s="409"/>
      <c r="H109" s="409"/>
      <c r="I109" s="409">
        <f>SUM(I110:I111)</f>
        <v>44812</v>
      </c>
      <c r="J109" s="409">
        <f aca="true" t="shared" si="57" ref="J109:P109">SUM(J110:J111)</f>
        <v>1350</v>
      </c>
      <c r="K109" s="409">
        <f t="shared" si="57"/>
        <v>0</v>
      </c>
      <c r="L109" s="409">
        <f t="shared" si="57"/>
        <v>0</v>
      </c>
      <c r="M109" s="409">
        <f t="shared" si="57"/>
        <v>0</v>
      </c>
      <c r="N109" s="409">
        <f t="shared" si="57"/>
        <v>0</v>
      </c>
      <c r="O109" s="409">
        <f t="shared" si="57"/>
        <v>44812</v>
      </c>
      <c r="P109" s="409">
        <f t="shared" si="57"/>
        <v>1350</v>
      </c>
      <c r="Q109" s="409">
        <f>SUM(Q110:Q111)</f>
        <v>44812</v>
      </c>
      <c r="R109" s="409">
        <f>SUM(R110:R111)</f>
        <v>1350</v>
      </c>
      <c r="S109" s="409"/>
      <c r="T109" s="409"/>
      <c r="U109" s="409"/>
      <c r="V109" s="409"/>
    </row>
    <row r="110" spans="1:22" s="1" customFormat="1" ht="12.75" hidden="1">
      <c r="A110" s="76"/>
      <c r="B110" s="1" t="s">
        <v>1144</v>
      </c>
      <c r="E110" s="2"/>
      <c r="F110" s="2"/>
      <c r="G110" s="2"/>
      <c r="H110" s="2"/>
      <c r="I110" s="2">
        <v>21576</v>
      </c>
      <c r="J110" s="2">
        <v>650</v>
      </c>
      <c r="K110" s="2"/>
      <c r="L110" s="2"/>
      <c r="N110" s="2"/>
      <c r="O110" s="2">
        <v>21576</v>
      </c>
      <c r="P110" s="2">
        <v>650</v>
      </c>
      <c r="Q110" s="2">
        <v>21576</v>
      </c>
      <c r="R110" s="2">
        <v>650</v>
      </c>
      <c r="S110" s="2"/>
      <c r="T110" s="2"/>
      <c r="U110" s="2"/>
      <c r="V110" s="2"/>
    </row>
    <row r="111" spans="1:22" s="1" customFormat="1" ht="12.75" hidden="1">
      <c r="A111" s="76"/>
      <c r="B111" s="1" t="s">
        <v>1149</v>
      </c>
      <c r="E111" s="2"/>
      <c r="F111" s="2"/>
      <c r="G111" s="2"/>
      <c r="H111" s="2"/>
      <c r="I111" s="2">
        <v>23236</v>
      </c>
      <c r="J111" s="2">
        <v>700</v>
      </c>
      <c r="K111" s="2"/>
      <c r="L111" s="2"/>
      <c r="N111" s="2"/>
      <c r="O111" s="2">
        <v>23236</v>
      </c>
      <c r="P111" s="2">
        <v>700</v>
      </c>
      <c r="Q111" s="2">
        <v>23236</v>
      </c>
      <c r="R111" s="2">
        <v>700</v>
      </c>
      <c r="S111" s="2"/>
      <c r="T111" s="2"/>
      <c r="U111" s="2"/>
      <c r="V111" s="2"/>
    </row>
    <row r="112" spans="1:22" s="5" customFormat="1" ht="12.75" hidden="1">
      <c r="A112" s="957" t="s">
        <v>489</v>
      </c>
      <c r="B112" s="958" t="s">
        <v>950</v>
      </c>
      <c r="E112" s="409"/>
      <c r="F112" s="409"/>
      <c r="G112" s="409"/>
      <c r="H112" s="409"/>
      <c r="I112" s="409">
        <f>SUM(I113:I114)</f>
        <v>0</v>
      </c>
      <c r="J112" s="409">
        <f aca="true" t="shared" si="58" ref="J112:P112">SUM(J113:J114)</f>
        <v>0</v>
      </c>
      <c r="K112" s="409">
        <f t="shared" si="58"/>
        <v>0</v>
      </c>
      <c r="L112" s="409">
        <f t="shared" si="58"/>
        <v>0</v>
      </c>
      <c r="M112" s="409">
        <f t="shared" si="58"/>
        <v>0</v>
      </c>
      <c r="N112" s="409">
        <f t="shared" si="58"/>
        <v>0</v>
      </c>
      <c r="O112" s="409">
        <f t="shared" si="58"/>
        <v>68104</v>
      </c>
      <c r="P112" s="409">
        <f t="shared" si="58"/>
        <v>2051.701104</v>
      </c>
      <c r="Q112" s="409">
        <f>SUM(Q113:Q114)</f>
        <v>68104</v>
      </c>
      <c r="R112" s="409">
        <f>SUM(R113:R114)</f>
        <v>2051.701104</v>
      </c>
      <c r="S112" s="409"/>
      <c r="T112" s="409"/>
      <c r="U112" s="409"/>
      <c r="V112" s="409"/>
    </row>
    <row r="113" spans="1:22" s="1" customFormat="1" ht="12.75" hidden="1">
      <c r="A113" s="76"/>
      <c r="B113" s="959" t="s">
        <v>1</v>
      </c>
      <c r="E113" s="2"/>
      <c r="F113" s="2"/>
      <c r="G113" s="2"/>
      <c r="H113" s="2"/>
      <c r="I113" s="2"/>
      <c r="J113" s="2"/>
      <c r="K113" s="2"/>
      <c r="L113" s="2"/>
      <c r="N113" s="2"/>
      <c r="O113" s="960">
        <v>27880</v>
      </c>
      <c r="P113" s="960">
        <f>O113*30.126/1000</f>
        <v>839.91288</v>
      </c>
      <c r="Q113" s="960">
        <v>27880</v>
      </c>
      <c r="R113" s="960">
        <f>Q113*30.126/1000</f>
        <v>839.91288</v>
      </c>
      <c r="S113" s="960"/>
      <c r="T113" s="960"/>
      <c r="U113" s="960"/>
      <c r="V113" s="960"/>
    </row>
    <row r="114" spans="1:22" s="1" customFormat="1" ht="12.75" hidden="1">
      <c r="A114" s="76"/>
      <c r="B114" s="959" t="s">
        <v>2</v>
      </c>
      <c r="E114" s="2"/>
      <c r="F114" s="2"/>
      <c r="G114" s="2"/>
      <c r="H114" s="2"/>
      <c r="I114" s="2"/>
      <c r="J114" s="2"/>
      <c r="K114" s="2"/>
      <c r="L114" s="2"/>
      <c r="N114" s="2"/>
      <c r="O114" s="960">
        <v>40224</v>
      </c>
      <c r="P114" s="960">
        <f>O114*30.126/1000</f>
        <v>1211.7882240000001</v>
      </c>
      <c r="Q114" s="960">
        <v>40224</v>
      </c>
      <c r="R114" s="960">
        <f>Q114*30.126/1000</f>
        <v>1211.7882240000001</v>
      </c>
      <c r="S114" s="960"/>
      <c r="T114" s="960"/>
      <c r="U114" s="960"/>
      <c r="V114" s="960"/>
    </row>
    <row r="115" spans="1:22" s="5" customFormat="1" ht="12.75" hidden="1">
      <c r="A115" s="956" t="s">
        <v>494</v>
      </c>
      <c r="B115" s="5" t="s">
        <v>989</v>
      </c>
      <c r="E115" s="409"/>
      <c r="F115" s="409"/>
      <c r="G115" s="409"/>
      <c r="H115" s="409"/>
      <c r="I115" s="409">
        <v>1700</v>
      </c>
      <c r="J115" s="409">
        <v>51</v>
      </c>
      <c r="K115" s="409"/>
      <c r="L115" s="409"/>
      <c r="N115" s="409"/>
      <c r="O115" s="409">
        <v>1700</v>
      </c>
      <c r="P115" s="409">
        <v>51</v>
      </c>
      <c r="Q115" s="409">
        <v>1700</v>
      </c>
      <c r="R115" s="409">
        <v>51</v>
      </c>
      <c r="S115" s="409"/>
      <c r="T115" s="409"/>
      <c r="U115" s="409"/>
      <c r="V115" s="409"/>
    </row>
    <row r="116" spans="1:22" s="5" customFormat="1" ht="12.75" hidden="1">
      <c r="A116" s="956" t="s">
        <v>490</v>
      </c>
      <c r="B116" s="5" t="s">
        <v>231</v>
      </c>
      <c r="E116" s="409"/>
      <c r="F116" s="409"/>
      <c r="G116" s="409"/>
      <c r="H116" s="409"/>
      <c r="I116" s="409">
        <f>I117</f>
        <v>22100</v>
      </c>
      <c r="J116" s="409">
        <f aca="true" t="shared" si="59" ref="J116:R116">J117</f>
        <v>666</v>
      </c>
      <c r="K116" s="409">
        <f t="shared" si="59"/>
        <v>0</v>
      </c>
      <c r="L116" s="409">
        <f t="shared" si="59"/>
        <v>0</v>
      </c>
      <c r="M116" s="409">
        <f t="shared" si="59"/>
        <v>0</v>
      </c>
      <c r="N116" s="409">
        <f t="shared" si="59"/>
        <v>0</v>
      </c>
      <c r="O116" s="409">
        <f t="shared" si="59"/>
        <v>99476</v>
      </c>
      <c r="P116" s="409">
        <f t="shared" si="59"/>
        <v>2997.029376</v>
      </c>
      <c r="Q116" s="409">
        <f t="shared" si="59"/>
        <v>99476</v>
      </c>
      <c r="R116" s="409">
        <f t="shared" si="59"/>
        <v>2997.029376</v>
      </c>
      <c r="S116" s="409"/>
      <c r="T116" s="409"/>
      <c r="U116" s="409"/>
      <c r="V116" s="409"/>
    </row>
    <row r="117" spans="1:22" s="1" customFormat="1" ht="12.75" hidden="1">
      <c r="A117" s="76"/>
      <c r="B117" s="1" t="s">
        <v>1150</v>
      </c>
      <c r="E117" s="2"/>
      <c r="F117" s="2"/>
      <c r="G117" s="2"/>
      <c r="H117" s="2"/>
      <c r="I117" s="2">
        <f>SUM(I118:I120)</f>
        <v>22100</v>
      </c>
      <c r="J117" s="2">
        <f aca="true" t="shared" si="60" ref="J117:P117">SUM(J118:J120)</f>
        <v>666</v>
      </c>
      <c r="K117" s="2">
        <f t="shared" si="60"/>
        <v>0</v>
      </c>
      <c r="L117" s="2">
        <f t="shared" si="60"/>
        <v>0</v>
      </c>
      <c r="M117" s="2">
        <f t="shared" si="60"/>
        <v>0</v>
      </c>
      <c r="N117" s="2">
        <f t="shared" si="60"/>
        <v>0</v>
      </c>
      <c r="O117" s="2">
        <f t="shared" si="60"/>
        <v>99476</v>
      </c>
      <c r="P117" s="2">
        <f t="shared" si="60"/>
        <v>2997.029376</v>
      </c>
      <c r="Q117" s="2">
        <f>SUM(Q118:Q120)</f>
        <v>99476</v>
      </c>
      <c r="R117" s="2">
        <f>SUM(R118:R120)</f>
        <v>2997.029376</v>
      </c>
      <c r="S117" s="2"/>
      <c r="T117" s="2"/>
      <c r="U117" s="2"/>
      <c r="V117" s="2"/>
    </row>
    <row r="118" spans="1:22" s="1" customFormat="1" ht="12.75" hidden="1">
      <c r="A118" s="76"/>
      <c r="B118" s="1" t="s">
        <v>1151</v>
      </c>
      <c r="E118" s="2"/>
      <c r="F118" s="2"/>
      <c r="G118" s="2"/>
      <c r="H118" s="2"/>
      <c r="I118" s="2">
        <v>10000</v>
      </c>
      <c r="J118" s="2">
        <v>301</v>
      </c>
      <c r="K118" s="2"/>
      <c r="L118" s="2"/>
      <c r="N118" s="2"/>
      <c r="O118" s="2">
        <v>10000</v>
      </c>
      <c r="P118" s="2">
        <v>301</v>
      </c>
      <c r="Q118" s="2">
        <v>10000</v>
      </c>
      <c r="R118" s="2">
        <v>301</v>
      </c>
      <c r="S118" s="2"/>
      <c r="T118" s="2"/>
      <c r="U118" s="2"/>
      <c r="V118" s="2"/>
    </row>
    <row r="119" spans="1:22" s="1" customFormat="1" ht="12.75" hidden="1">
      <c r="A119" s="76"/>
      <c r="B119" s="1" t="s">
        <v>1152</v>
      </c>
      <c r="E119" s="2"/>
      <c r="F119" s="2"/>
      <c r="G119" s="2"/>
      <c r="H119" s="2"/>
      <c r="I119" s="2">
        <v>12100</v>
      </c>
      <c r="J119" s="2">
        <v>365</v>
      </c>
      <c r="K119" s="2"/>
      <c r="L119" s="2"/>
      <c r="N119" s="2"/>
      <c r="O119" s="2">
        <v>12100</v>
      </c>
      <c r="P119" s="2">
        <v>365</v>
      </c>
      <c r="Q119" s="2">
        <v>12100</v>
      </c>
      <c r="R119" s="2">
        <v>365</v>
      </c>
      <c r="S119" s="2"/>
      <c r="T119" s="2"/>
      <c r="U119" s="2"/>
      <c r="V119" s="2"/>
    </row>
    <row r="120" spans="1:22" s="1" customFormat="1" ht="12.75" hidden="1">
      <c r="A120" s="76"/>
      <c r="B120" s="961" t="s">
        <v>2</v>
      </c>
      <c r="E120" s="2"/>
      <c r="F120" s="2"/>
      <c r="G120" s="2"/>
      <c r="H120" s="2"/>
      <c r="I120" s="2"/>
      <c r="J120" s="2"/>
      <c r="K120" s="2"/>
      <c r="L120" s="2"/>
      <c r="N120" s="2"/>
      <c r="O120" s="960">
        <v>77376</v>
      </c>
      <c r="P120" s="960">
        <f>O120*30.126/1000</f>
        <v>2331.029376</v>
      </c>
      <c r="Q120" s="960">
        <v>77376</v>
      </c>
      <c r="R120" s="960">
        <f>Q120*30.126/1000</f>
        <v>2331.029376</v>
      </c>
      <c r="S120" s="960"/>
      <c r="T120" s="960"/>
      <c r="U120" s="960"/>
      <c r="V120" s="960"/>
    </row>
    <row r="121" spans="1:22" s="1" customFormat="1" ht="12.75" hidden="1">
      <c r="A121" s="76"/>
      <c r="E121" s="2"/>
      <c r="F121" s="2"/>
      <c r="G121" s="2"/>
      <c r="H121" s="2"/>
      <c r="I121" s="2"/>
      <c r="J121" s="2"/>
      <c r="K121" s="2"/>
      <c r="L121" s="2"/>
      <c r="N121" s="2"/>
      <c r="O121" s="2"/>
      <c r="P121" s="2"/>
      <c r="Q121" s="2"/>
      <c r="R121" s="2"/>
      <c r="S121" s="2"/>
      <c r="T121" s="2"/>
      <c r="U121" s="2"/>
      <c r="V121" s="2"/>
    </row>
    <row r="122" ht="12.75" hidden="1"/>
    <row r="123" ht="12.75" hidden="1"/>
  </sheetData>
  <sheetProtection/>
  <mergeCells count="21">
    <mergeCell ref="U2:V2"/>
    <mergeCell ref="U77:V77"/>
    <mergeCell ref="U98:V98"/>
    <mergeCell ref="S2:T2"/>
    <mergeCell ref="S77:T77"/>
    <mergeCell ref="S98:T98"/>
    <mergeCell ref="A98:B99"/>
    <mergeCell ref="A77:B78"/>
    <mergeCell ref="M2:N2"/>
    <mergeCell ref="A2:B3"/>
    <mergeCell ref="K2:L2"/>
    <mergeCell ref="E2:F2"/>
    <mergeCell ref="E77:F77"/>
    <mergeCell ref="E98:F98"/>
    <mergeCell ref="Q2:R2"/>
    <mergeCell ref="Q77:R77"/>
    <mergeCell ref="Q98:R98"/>
    <mergeCell ref="K98:L98"/>
    <mergeCell ref="M98:N98"/>
    <mergeCell ref="K77:L77"/>
    <mergeCell ref="M77:N77"/>
  </mergeCells>
  <printOptions horizontalCentered="1"/>
  <pageMargins left="0" right="0.7874015748031497" top="1.1811023622047245" bottom="1.1811023622047245" header="0" footer="0"/>
  <pageSetup horizontalDpi="600" verticalDpi="600" orientation="landscape" paperSize="9" scale="8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V236"/>
  <sheetViews>
    <sheetView showGridLines="0" zoomScalePageLayoutView="0" workbookViewId="0" topLeftCell="A1">
      <pane xSplit="2" ySplit="3" topLeftCell="E2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52" sqref="Q52"/>
    </sheetView>
  </sheetViews>
  <sheetFormatPr defaultColWidth="9.140625" defaultRowHeight="12.75"/>
  <cols>
    <col min="1" max="1" width="7.28125" style="16" customWidth="1"/>
    <col min="2" max="2" width="65.7109375" style="6" customWidth="1"/>
    <col min="3" max="4" width="10.7109375" style="275" hidden="1" customWidth="1"/>
    <col min="5" max="6" width="11.28125" style="4" customWidth="1"/>
    <col min="7" max="7" width="11.28125" style="4" hidden="1" customWidth="1"/>
    <col min="8" max="8" width="10.7109375" style="4" hidden="1" customWidth="1"/>
    <col min="9" max="9" width="11.7109375" style="4" hidden="1" customWidth="1"/>
    <col min="10" max="10" width="10.7109375" style="4" hidden="1" customWidth="1"/>
    <col min="11" max="11" width="11.28125" style="4" hidden="1" customWidth="1"/>
    <col min="12" max="12" width="10.7109375" style="4" hidden="1" customWidth="1"/>
    <col min="13" max="13" width="11.7109375" style="6" hidden="1" customWidth="1"/>
    <col min="14" max="14" width="10.7109375" style="4" hidden="1" customWidth="1"/>
    <col min="15" max="15" width="11.7109375" style="4" hidden="1" customWidth="1"/>
    <col min="16" max="16" width="10.7109375" style="4" hidden="1" customWidth="1"/>
    <col min="17" max="22" width="11.28125" style="4" customWidth="1"/>
    <col min="23" max="16384" width="9.140625" style="6" customWidth="1"/>
  </cols>
  <sheetData>
    <row r="1" spans="1:18" ht="21" hidden="1" thickBot="1" thickTop="1">
      <c r="A1" s="237" t="s">
        <v>1122</v>
      </c>
      <c r="Q1" s="2501"/>
      <c r="R1" s="2502"/>
    </row>
    <row r="2" spans="1:22" s="30" customFormat="1" ht="39.75" customHeight="1">
      <c r="A2" s="2942"/>
      <c r="B2" s="2943"/>
      <c r="C2" s="798" t="s">
        <v>506</v>
      </c>
      <c r="D2" s="1519" t="s">
        <v>507</v>
      </c>
      <c r="E2" s="2890" t="s">
        <v>184</v>
      </c>
      <c r="F2" s="2891"/>
      <c r="G2" s="1173" t="s">
        <v>510</v>
      </c>
      <c r="H2" s="1166" t="s">
        <v>510</v>
      </c>
      <c r="I2" s="1002" t="s">
        <v>87</v>
      </c>
      <c r="J2" s="1002" t="s">
        <v>87</v>
      </c>
      <c r="K2" s="2870" t="s">
        <v>509</v>
      </c>
      <c r="L2" s="2870"/>
      <c r="M2" s="2870" t="s">
        <v>508</v>
      </c>
      <c r="N2" s="2870"/>
      <c r="O2" s="1003" t="s">
        <v>952</v>
      </c>
      <c r="P2" s="1546" t="s">
        <v>952</v>
      </c>
      <c r="Q2" s="2950" t="s">
        <v>183</v>
      </c>
      <c r="R2" s="2951"/>
      <c r="S2" s="2892" t="s">
        <v>725</v>
      </c>
      <c r="T2" s="2875"/>
      <c r="U2" s="2875" t="s">
        <v>726</v>
      </c>
      <c r="V2" s="2878"/>
    </row>
    <row r="3" spans="1:22" s="24" customFormat="1" ht="15" customHeight="1" thickBot="1">
      <c r="A3" s="2944"/>
      <c r="B3" s="2945"/>
      <c r="C3" s="777" t="s">
        <v>966</v>
      </c>
      <c r="D3" s="453" t="s">
        <v>966</v>
      </c>
      <c r="E3" s="768" t="s">
        <v>435</v>
      </c>
      <c r="F3" s="307" t="s">
        <v>966</v>
      </c>
      <c r="G3" s="571" t="s">
        <v>435</v>
      </c>
      <c r="H3" s="240" t="s">
        <v>966</v>
      </c>
      <c r="I3" s="1005" t="s">
        <v>435</v>
      </c>
      <c r="J3" s="1005" t="s">
        <v>966</v>
      </c>
      <c r="K3" s="241" t="s">
        <v>435</v>
      </c>
      <c r="L3" s="241" t="s">
        <v>966</v>
      </c>
      <c r="M3" s="241" t="s">
        <v>435</v>
      </c>
      <c r="N3" s="241" t="s">
        <v>966</v>
      </c>
      <c r="O3" s="1006" t="s">
        <v>435</v>
      </c>
      <c r="P3" s="1547" t="s">
        <v>966</v>
      </c>
      <c r="Q3" s="2250" t="s">
        <v>435</v>
      </c>
      <c r="R3" s="975" t="s">
        <v>966</v>
      </c>
      <c r="S3" s="797" t="s">
        <v>435</v>
      </c>
      <c r="T3" s="241" t="s">
        <v>966</v>
      </c>
      <c r="U3" s="241" t="s">
        <v>435</v>
      </c>
      <c r="V3" s="796" t="s">
        <v>966</v>
      </c>
    </row>
    <row r="4" spans="1:22" s="23" customFormat="1" ht="19.5" customHeight="1">
      <c r="A4" s="128" t="s">
        <v>353</v>
      </c>
      <c r="B4" s="893" t="s">
        <v>922</v>
      </c>
      <c r="C4" s="876">
        <f aca="true" t="shared" si="0" ref="C4:V4">C5+C184</f>
        <v>167376</v>
      </c>
      <c r="D4" s="2560">
        <f t="shared" si="0"/>
        <v>202472</v>
      </c>
      <c r="E4" s="2575">
        <f t="shared" si="0"/>
        <v>12999035</v>
      </c>
      <c r="F4" s="2576">
        <f t="shared" si="0"/>
        <v>391608.696288</v>
      </c>
      <c r="G4" s="662">
        <f t="shared" si="0"/>
        <v>7606298</v>
      </c>
      <c r="H4" s="651">
        <f t="shared" si="0"/>
        <v>229147.33354800002</v>
      </c>
      <c r="I4" s="92">
        <f t="shared" si="0"/>
        <v>7465181</v>
      </c>
      <c r="J4" s="92">
        <f t="shared" si="0"/>
        <v>224896.042806</v>
      </c>
      <c r="K4" s="92">
        <f t="shared" si="0"/>
        <v>7425130</v>
      </c>
      <c r="L4" s="92">
        <f t="shared" si="0"/>
        <v>223689.46638000006</v>
      </c>
      <c r="M4" s="92">
        <f t="shared" si="0"/>
        <v>7817621</v>
      </c>
      <c r="N4" s="92">
        <f t="shared" si="0"/>
        <v>235513.650246</v>
      </c>
      <c r="O4" s="92">
        <f t="shared" si="0"/>
        <v>6411427</v>
      </c>
      <c r="P4" s="2592">
        <f t="shared" si="0"/>
        <v>193150.649802</v>
      </c>
      <c r="Q4" s="2608">
        <f t="shared" si="0"/>
        <v>12345130</v>
      </c>
      <c r="R4" s="2609">
        <f t="shared" si="0"/>
        <v>371909.01304</v>
      </c>
      <c r="S4" s="2600">
        <f t="shared" si="0"/>
        <v>12383804</v>
      </c>
      <c r="T4" s="92">
        <f t="shared" si="0"/>
        <v>373074.47930400004</v>
      </c>
      <c r="U4" s="92">
        <f t="shared" si="0"/>
        <v>12383804</v>
      </c>
      <c r="V4" s="648">
        <f t="shared" si="0"/>
        <v>373074.47930400004</v>
      </c>
    </row>
    <row r="5" spans="1:22" s="30" customFormat="1" ht="19.5" customHeight="1">
      <c r="A5" s="94" t="s">
        <v>753</v>
      </c>
      <c r="B5" s="894" t="s">
        <v>1004</v>
      </c>
      <c r="C5" s="877">
        <f aca="true" t="shared" si="1" ref="C5:V5">C6+C65</f>
        <v>165598</v>
      </c>
      <c r="D5" s="2561">
        <f t="shared" si="1"/>
        <v>200327</v>
      </c>
      <c r="E5" s="2577">
        <f t="shared" si="1"/>
        <v>12924016</v>
      </c>
      <c r="F5" s="2578">
        <f t="shared" si="1"/>
        <v>389348.67389399995</v>
      </c>
      <c r="G5" s="911">
        <f t="shared" si="1"/>
        <v>7512809</v>
      </c>
      <c r="H5" s="912">
        <f t="shared" si="1"/>
        <v>226330.883934</v>
      </c>
      <c r="I5" s="91">
        <f t="shared" si="1"/>
        <v>7371692</v>
      </c>
      <c r="J5" s="91">
        <f t="shared" si="1"/>
        <v>222079.593192</v>
      </c>
      <c r="K5" s="91">
        <f t="shared" si="1"/>
        <v>7327541</v>
      </c>
      <c r="L5" s="91">
        <f t="shared" si="1"/>
        <v>220749.50016600004</v>
      </c>
      <c r="M5" s="91">
        <f t="shared" si="1"/>
        <v>7717732</v>
      </c>
      <c r="N5" s="91">
        <f t="shared" si="1"/>
        <v>232504.394232</v>
      </c>
      <c r="O5" s="91">
        <f t="shared" si="1"/>
        <v>6317938</v>
      </c>
      <c r="P5" s="1627">
        <f t="shared" si="1"/>
        <v>190334.200188</v>
      </c>
      <c r="Q5" s="2610">
        <f t="shared" si="1"/>
        <v>12251641</v>
      </c>
      <c r="R5" s="2611">
        <f t="shared" si="1"/>
        <v>369092.563426</v>
      </c>
      <c r="S5" s="2601">
        <f t="shared" si="1"/>
        <v>12290315</v>
      </c>
      <c r="T5" s="91">
        <f t="shared" si="1"/>
        <v>370258.02969000005</v>
      </c>
      <c r="U5" s="91">
        <f t="shared" si="1"/>
        <v>12290315</v>
      </c>
      <c r="V5" s="621">
        <f t="shared" si="1"/>
        <v>370258.02969000005</v>
      </c>
    </row>
    <row r="6" spans="1:22" s="24" customFormat="1" ht="19.5" customHeight="1">
      <c r="A6" s="95" t="s">
        <v>497</v>
      </c>
      <c r="B6" s="895" t="s">
        <v>965</v>
      </c>
      <c r="C6" s="878">
        <f>C9+C10+C45+C47+C53+C54+C55+C56+C57+C58+C59+C60+C61+C62+C63</f>
        <v>139463</v>
      </c>
      <c r="D6" s="2562">
        <f>D9+D10+D45+D47+D53+D54+D55+D56+D57+D58+D59+D60+D61+D62+D63</f>
        <v>153545</v>
      </c>
      <c r="E6" s="2579">
        <f>E9+E10+E45+E47+E53+E54+E55+E56+E57+E58+E61++E51+E52</f>
        <v>11842190</v>
      </c>
      <c r="F6" s="2580">
        <f>F9+F10+F45+F47+F53+F54+F55+F56+F57+F58+F59+F60+F61+F62+F63</f>
        <v>356757.913486</v>
      </c>
      <c r="G6" s="608">
        <f>SUM(G7:G8)</f>
        <v>6646809</v>
      </c>
      <c r="H6" s="622">
        <f aca="true" t="shared" si="2" ref="H6:N6">SUM(H7:H8)</f>
        <v>200241.767934</v>
      </c>
      <c r="I6" s="623">
        <f t="shared" si="2"/>
        <v>6535692</v>
      </c>
      <c r="J6" s="623">
        <f t="shared" si="2"/>
        <v>196894.257192</v>
      </c>
      <c r="K6" s="623">
        <f t="shared" si="2"/>
        <v>6950541</v>
      </c>
      <c r="L6" s="623">
        <f t="shared" si="2"/>
        <v>209391.99816600003</v>
      </c>
      <c r="M6" s="623">
        <f t="shared" si="2"/>
        <v>7280732</v>
      </c>
      <c r="N6" s="623">
        <f t="shared" si="2"/>
        <v>219339.332232</v>
      </c>
      <c r="O6" s="623">
        <f aca="true" t="shared" si="3" ref="O6:V6">SUM(O7:O8)</f>
        <v>5481938</v>
      </c>
      <c r="P6" s="1628">
        <f t="shared" si="3"/>
        <v>165148.86418799998</v>
      </c>
      <c r="Q6" s="2612">
        <f t="shared" si="3"/>
        <v>11415641</v>
      </c>
      <c r="R6" s="2613">
        <f>SUM(R9+R10+R47+R51+R52)</f>
        <v>343907.227426</v>
      </c>
      <c r="S6" s="2602">
        <f t="shared" si="3"/>
        <v>11454315</v>
      </c>
      <c r="T6" s="623">
        <f t="shared" si="3"/>
        <v>345072.69369000004</v>
      </c>
      <c r="U6" s="623">
        <f t="shared" si="3"/>
        <v>11454315</v>
      </c>
      <c r="V6" s="624">
        <f t="shared" si="3"/>
        <v>345072.69369000004</v>
      </c>
    </row>
    <row r="7" spans="1:22" s="439" customFormat="1" ht="15" customHeight="1" hidden="1">
      <c r="A7" s="438"/>
      <c r="B7" s="896" t="s">
        <v>1153</v>
      </c>
      <c r="C7" s="879"/>
      <c r="D7" s="2563"/>
      <c r="E7" s="2581"/>
      <c r="F7" s="2582"/>
      <c r="G7" s="442">
        <f>G11</f>
        <v>701979</v>
      </c>
      <c r="H7" s="652">
        <f aca="true" t="shared" si="4" ref="H7:N7">H11</f>
        <v>21147.819354</v>
      </c>
      <c r="I7" s="653">
        <f t="shared" si="4"/>
        <v>701442</v>
      </c>
      <c r="J7" s="653">
        <f t="shared" si="4"/>
        <v>21131.641692</v>
      </c>
      <c r="K7" s="653">
        <f t="shared" si="4"/>
        <v>721114</v>
      </c>
      <c r="L7" s="653">
        <f t="shared" si="4"/>
        <v>21724.280364000002</v>
      </c>
      <c r="M7" s="653">
        <f t="shared" si="4"/>
        <v>730520</v>
      </c>
      <c r="N7" s="653">
        <f t="shared" si="4"/>
        <v>22007.64552</v>
      </c>
      <c r="O7" s="653">
        <f>O11</f>
        <v>651456</v>
      </c>
      <c r="P7" s="2593">
        <f>P11</f>
        <v>19625.763456</v>
      </c>
      <c r="Q7" s="2614">
        <f>Q11</f>
        <v>119427</v>
      </c>
      <c r="R7" s="2615">
        <f>R11</f>
        <v>3597.8578020000004</v>
      </c>
      <c r="S7" s="2603">
        <v>119427</v>
      </c>
      <c r="T7" s="653">
        <f>S7*30.126/1000</f>
        <v>3597.857802</v>
      </c>
      <c r="U7" s="653">
        <v>119427</v>
      </c>
      <c r="V7" s="654">
        <f>U7*30.126/1000</f>
        <v>3597.857802</v>
      </c>
    </row>
    <row r="8" spans="1:22" s="24" customFormat="1" ht="15" customHeight="1" hidden="1">
      <c r="A8" s="914"/>
      <c r="B8" s="915" t="s">
        <v>55</v>
      </c>
      <c r="C8" s="916"/>
      <c r="D8" s="2564"/>
      <c r="E8" s="2583"/>
      <c r="F8" s="2584"/>
      <c r="G8" s="917">
        <f aca="true" t="shared" si="5" ref="G8:P8">G9+G12+G45+G47+G53+G54+G55+G56+G57+G58+G60+G61+G63</f>
        <v>5944830</v>
      </c>
      <c r="H8" s="918">
        <f t="shared" si="5"/>
        <v>179093.94858</v>
      </c>
      <c r="I8" s="919">
        <f t="shared" si="5"/>
        <v>5834250</v>
      </c>
      <c r="J8" s="919">
        <f t="shared" si="5"/>
        <v>175762.61549999999</v>
      </c>
      <c r="K8" s="919">
        <f t="shared" si="5"/>
        <v>6229427</v>
      </c>
      <c r="L8" s="919">
        <f t="shared" si="5"/>
        <v>187667.71780200003</v>
      </c>
      <c r="M8" s="919">
        <f t="shared" si="5"/>
        <v>6550212</v>
      </c>
      <c r="N8" s="919">
        <f t="shared" si="5"/>
        <v>197331.686712</v>
      </c>
      <c r="O8" s="919">
        <f t="shared" si="5"/>
        <v>4830482</v>
      </c>
      <c r="P8" s="2594">
        <f t="shared" si="5"/>
        <v>145523.100732</v>
      </c>
      <c r="Q8" s="2616">
        <f>Q9+Q12+Q45+Q47+Q53+Q54+Q55+Q56+Q57+Q58+Q60+Q61+Q63+Q51+Q52</f>
        <v>11296214</v>
      </c>
      <c r="R8" s="2617">
        <f>R9+R12+R45+R47+R53+R54+R55+R56+R57+R58+R60+R61+R63</f>
        <v>328713.206686</v>
      </c>
      <c r="S8" s="2604">
        <v>11334888</v>
      </c>
      <c r="T8" s="919">
        <f>S8*30.126/1000</f>
        <v>341474.83588800003</v>
      </c>
      <c r="U8" s="919">
        <v>11334888</v>
      </c>
      <c r="V8" s="920">
        <f>U8*30.126/1000</f>
        <v>341474.83588800003</v>
      </c>
    </row>
    <row r="9" spans="1:22" ht="15" customHeight="1">
      <c r="A9" s="129" t="s">
        <v>498</v>
      </c>
      <c r="B9" s="897" t="s">
        <v>999</v>
      </c>
      <c r="C9" s="880">
        <v>1028</v>
      </c>
      <c r="D9" s="2565">
        <v>2092</v>
      </c>
      <c r="E9" s="2370">
        <v>46471</v>
      </c>
      <c r="F9" s="2480">
        <f>(E9*30.126)/1000</f>
        <v>1399.9853460000002</v>
      </c>
      <c r="G9" s="610">
        <v>47000</v>
      </c>
      <c r="H9" s="625">
        <f>G9*30.126/1000</f>
        <v>1415.922</v>
      </c>
      <c r="I9" s="247">
        <v>47000</v>
      </c>
      <c r="J9" s="247">
        <f>I9*30.126/1000</f>
        <v>1415.922</v>
      </c>
      <c r="K9" s="247">
        <v>47000</v>
      </c>
      <c r="L9" s="247">
        <f>K9*30.126/1000</f>
        <v>1415.922</v>
      </c>
      <c r="M9" s="247">
        <v>47000</v>
      </c>
      <c r="N9" s="247">
        <f>M9*30.126/1000</f>
        <v>1415.922</v>
      </c>
      <c r="O9" s="247">
        <v>47000</v>
      </c>
      <c r="P9" s="1790">
        <f>O9*30.126/1000</f>
        <v>1415.922</v>
      </c>
      <c r="Q9" s="2398">
        <v>47000</v>
      </c>
      <c r="R9" s="2399">
        <f>Q9*30.126/1000</f>
        <v>1415.922</v>
      </c>
      <c r="S9" s="2382"/>
      <c r="T9" s="247"/>
      <c r="U9" s="247"/>
      <c r="V9" s="331"/>
    </row>
    <row r="10" spans="1:22" ht="15" customHeight="1">
      <c r="A10" s="130" t="s">
        <v>499</v>
      </c>
      <c r="B10" s="898" t="s">
        <v>995</v>
      </c>
      <c r="C10" s="881">
        <f>SUM(C13:C42)</f>
        <v>134303</v>
      </c>
      <c r="D10" s="2566">
        <f>SUM(D13:D42)</f>
        <v>147775</v>
      </c>
      <c r="E10" s="2585">
        <v>5428829</v>
      </c>
      <c r="F10" s="2586">
        <v>163549</v>
      </c>
      <c r="G10" s="444">
        <f>SUM(G11:G12)</f>
        <v>6599809</v>
      </c>
      <c r="H10" s="655">
        <f aca="true" t="shared" si="6" ref="H10:N10">SUM(H11:H12)</f>
        <v>198825.845934</v>
      </c>
      <c r="I10" s="333">
        <f t="shared" si="6"/>
        <v>6488692</v>
      </c>
      <c r="J10" s="333">
        <f t="shared" si="6"/>
        <v>195478.335192</v>
      </c>
      <c r="K10" s="333">
        <f t="shared" si="6"/>
        <v>6903541</v>
      </c>
      <c r="L10" s="333">
        <f t="shared" si="6"/>
        <v>207976.07616600004</v>
      </c>
      <c r="M10" s="333">
        <f t="shared" si="6"/>
        <v>7233732</v>
      </c>
      <c r="N10" s="333">
        <f t="shared" si="6"/>
        <v>217923.410232</v>
      </c>
      <c r="O10" s="333">
        <f>SUM(O11:O12)</f>
        <v>5434938</v>
      </c>
      <c r="P10" s="2595">
        <f>SUM(P11:P12)</f>
        <v>163732.94218800002</v>
      </c>
      <c r="Q10" s="2618">
        <f>SUM(Q13+Q16+Q20+Q23+Q26+Q29+Q32+Q35+Q38+Q39+Q42)</f>
        <v>5200872</v>
      </c>
      <c r="R10" s="2619">
        <f>SUM(R13+R16+R20+R23+R26+R29+R32+R35+R38+R39+R42)</f>
        <v>156681.46987200002</v>
      </c>
      <c r="S10" s="2605"/>
      <c r="T10" s="333"/>
      <c r="U10" s="333"/>
      <c r="V10" s="332"/>
    </row>
    <row r="11" spans="1:22" s="437" customFormat="1" ht="15" customHeight="1" hidden="1">
      <c r="A11" s="436"/>
      <c r="B11" s="899" t="s">
        <v>1153</v>
      </c>
      <c r="C11" s="882"/>
      <c r="D11" s="2567"/>
      <c r="E11" s="2587"/>
      <c r="F11" s="2588"/>
      <c r="G11" s="443">
        <f>G14+G17+G21+G24+G27+G30+G33+G36+G40+G43</f>
        <v>701979</v>
      </c>
      <c r="H11" s="656">
        <f aca="true" t="shared" si="7" ref="H11:N11">H14+H17+H21+H24+H27+H30+H33+H36+H40+H43</f>
        <v>21147.819354</v>
      </c>
      <c r="I11" s="657">
        <f t="shared" si="7"/>
        <v>701442</v>
      </c>
      <c r="J11" s="657">
        <f t="shared" si="7"/>
        <v>21131.641692</v>
      </c>
      <c r="K11" s="657">
        <f t="shared" si="7"/>
        <v>721114</v>
      </c>
      <c r="L11" s="657">
        <f t="shared" si="7"/>
        <v>21724.280364000002</v>
      </c>
      <c r="M11" s="657">
        <f t="shared" si="7"/>
        <v>730520</v>
      </c>
      <c r="N11" s="657">
        <f t="shared" si="7"/>
        <v>22007.64552</v>
      </c>
      <c r="O11" s="657">
        <f aca="true" t="shared" si="8" ref="O11:R12">O14+O17+O21+O24+O27+O30+O33+O36+O40+O43</f>
        <v>651456</v>
      </c>
      <c r="P11" s="2596">
        <f t="shared" si="8"/>
        <v>19625.763456</v>
      </c>
      <c r="Q11" s="2620">
        <f t="shared" si="8"/>
        <v>119427</v>
      </c>
      <c r="R11" s="2621">
        <f t="shared" si="8"/>
        <v>3597.8578020000004</v>
      </c>
      <c r="S11" s="2606"/>
      <c r="T11" s="657"/>
      <c r="U11" s="657"/>
      <c r="V11" s="658"/>
    </row>
    <row r="12" spans="1:22" ht="15" customHeight="1" hidden="1">
      <c r="A12" s="116"/>
      <c r="B12" s="900" t="s">
        <v>55</v>
      </c>
      <c r="C12" s="881"/>
      <c r="D12" s="2566"/>
      <c r="E12" s="2585"/>
      <c r="F12" s="2586"/>
      <c r="G12" s="444">
        <f>G15+G18+G22+G25+G28+G31+G34+G37+G41+G44</f>
        <v>5897830</v>
      </c>
      <c r="H12" s="655">
        <f aca="true" t="shared" si="9" ref="H12:N12">H15+H18+H22+H25+H28+H31+H34+H37+H41+H44</f>
        <v>177678.02658</v>
      </c>
      <c r="I12" s="333">
        <f t="shared" si="9"/>
        <v>5787250</v>
      </c>
      <c r="J12" s="333">
        <f t="shared" si="9"/>
        <v>174346.6935</v>
      </c>
      <c r="K12" s="333">
        <f t="shared" si="9"/>
        <v>6182427</v>
      </c>
      <c r="L12" s="333">
        <f t="shared" si="9"/>
        <v>186251.79580200004</v>
      </c>
      <c r="M12" s="333">
        <f t="shared" si="9"/>
        <v>6503212</v>
      </c>
      <c r="N12" s="333">
        <f t="shared" si="9"/>
        <v>195915.764712</v>
      </c>
      <c r="O12" s="333">
        <f t="shared" si="8"/>
        <v>4783482</v>
      </c>
      <c r="P12" s="2595">
        <f t="shared" si="8"/>
        <v>144107.178732</v>
      </c>
      <c r="Q12" s="2618">
        <f t="shared" si="8"/>
        <v>5081445</v>
      </c>
      <c r="R12" s="2619">
        <f t="shared" si="8"/>
        <v>153083.94069</v>
      </c>
      <c r="S12" s="2605"/>
      <c r="T12" s="333"/>
      <c r="U12" s="333"/>
      <c r="V12" s="332"/>
    </row>
    <row r="13" spans="1:22" ht="15" customHeight="1">
      <c r="A13" s="116"/>
      <c r="B13" s="789" t="s">
        <v>1006</v>
      </c>
      <c r="C13" s="883">
        <v>12421</v>
      </c>
      <c r="D13" s="2305">
        <v>14862</v>
      </c>
      <c r="E13" s="772">
        <v>504547</v>
      </c>
      <c r="F13" s="139">
        <f>(E13*30.126)/1000</f>
        <v>15199.982922000001</v>
      </c>
      <c r="G13" s="446">
        <f>SUM(G14:G15)</f>
        <v>706439</v>
      </c>
      <c r="H13" s="354">
        <f aca="true" t="shared" si="10" ref="H13:N13">SUM(H14:H15)</f>
        <v>21282.181314</v>
      </c>
      <c r="I13" s="249">
        <f t="shared" si="10"/>
        <v>662875</v>
      </c>
      <c r="J13" s="249">
        <f t="shared" si="10"/>
        <v>19969.77225</v>
      </c>
      <c r="K13" s="249">
        <f t="shared" si="10"/>
        <v>758447</v>
      </c>
      <c r="L13" s="249">
        <f t="shared" si="10"/>
        <v>22848.974322000002</v>
      </c>
      <c r="M13" s="249">
        <f t="shared" si="10"/>
        <v>804769</v>
      </c>
      <c r="N13" s="249">
        <f t="shared" si="10"/>
        <v>24244.470894000002</v>
      </c>
      <c r="O13" s="249">
        <f>SUM(O14:O15)</f>
        <v>395928</v>
      </c>
      <c r="P13" s="1553">
        <f>SUM(P14:P15)</f>
        <v>11927.726928</v>
      </c>
      <c r="Q13" s="2302">
        <v>447953</v>
      </c>
      <c r="R13" s="2303">
        <f>SUM(Q13*30.126/1000)</f>
        <v>13495.032078</v>
      </c>
      <c r="S13" s="2291"/>
      <c r="T13" s="249"/>
      <c r="U13" s="249"/>
      <c r="V13" s="304"/>
    </row>
    <row r="14" spans="1:22" s="437" customFormat="1" ht="15" customHeight="1" hidden="1">
      <c r="A14" s="436"/>
      <c r="B14" s="899" t="s">
        <v>1153</v>
      </c>
      <c r="C14" s="882"/>
      <c r="D14" s="2567"/>
      <c r="E14" s="2587"/>
      <c r="F14" s="2588"/>
      <c r="G14" s="443">
        <v>33948</v>
      </c>
      <c r="H14" s="656">
        <f>G14*30.126/1000</f>
        <v>1022.7174480000001</v>
      </c>
      <c r="I14" s="657">
        <v>33948</v>
      </c>
      <c r="J14" s="657">
        <f>I14*30.126/1000</f>
        <v>1022.7174480000001</v>
      </c>
      <c r="K14" s="657">
        <v>54285</v>
      </c>
      <c r="L14" s="657">
        <f>K14*30.126/1000</f>
        <v>1635.38991</v>
      </c>
      <c r="M14" s="657">
        <v>46068</v>
      </c>
      <c r="N14" s="657">
        <f>M14*30.126/1000</f>
        <v>1387.844568</v>
      </c>
      <c r="O14" s="657">
        <v>33948</v>
      </c>
      <c r="P14" s="2596">
        <f>O14*30.126/1000</f>
        <v>1022.7174480000001</v>
      </c>
      <c r="Q14" s="2620"/>
      <c r="R14" s="2303">
        <f aca="true" t="shared" si="11" ref="R14:R42">SUM(Q14*30.126/1000)</f>
        <v>0</v>
      </c>
      <c r="S14" s="2606"/>
      <c r="T14" s="657"/>
      <c r="U14" s="657"/>
      <c r="V14" s="658"/>
    </row>
    <row r="15" spans="1:22" ht="15" customHeight="1" hidden="1">
      <c r="A15" s="116"/>
      <c r="B15" s="900" t="s">
        <v>55</v>
      </c>
      <c r="C15" s="881"/>
      <c r="D15" s="2566"/>
      <c r="E15" s="2585"/>
      <c r="F15" s="2586"/>
      <c r="G15" s="444">
        <v>672491</v>
      </c>
      <c r="H15" s="655">
        <f>G15*30.126/1000</f>
        <v>20259.463866000002</v>
      </c>
      <c r="I15" s="333">
        <v>628927</v>
      </c>
      <c r="J15" s="333">
        <f>I15*30.126/1000</f>
        <v>18947.054802000002</v>
      </c>
      <c r="K15" s="333">
        <v>704162</v>
      </c>
      <c r="L15" s="333">
        <f>K15*30.126/1000</f>
        <v>21213.584412</v>
      </c>
      <c r="M15" s="333">
        <v>758701</v>
      </c>
      <c r="N15" s="333">
        <f>M15*30.126/1000</f>
        <v>22856.626326</v>
      </c>
      <c r="O15" s="333">
        <v>361980</v>
      </c>
      <c r="P15" s="2595">
        <f>O15*30.126/1000</f>
        <v>10905.00948</v>
      </c>
      <c r="Q15" s="2618">
        <v>388128</v>
      </c>
      <c r="R15" s="2303">
        <f t="shared" si="11"/>
        <v>11692.744128</v>
      </c>
      <c r="S15" s="2605"/>
      <c r="T15" s="333"/>
      <c r="U15" s="333"/>
      <c r="V15" s="332"/>
    </row>
    <row r="16" spans="1:22" ht="15" customHeight="1">
      <c r="A16" s="116"/>
      <c r="B16" s="789" t="s">
        <v>611</v>
      </c>
      <c r="C16" s="883"/>
      <c r="D16" s="2305"/>
      <c r="E16" s="772">
        <v>208989</v>
      </c>
      <c r="F16" s="139">
        <f>(E16*30.126)/1000</f>
        <v>6296.002614</v>
      </c>
      <c r="G16" s="446">
        <f>SUM(G17:G18)</f>
        <v>302561</v>
      </c>
      <c r="H16" s="354">
        <f aca="true" t="shared" si="12" ref="H16:N16">SUM(H17:H18)</f>
        <v>9114.952686</v>
      </c>
      <c r="I16" s="249">
        <f t="shared" si="12"/>
        <v>302561</v>
      </c>
      <c r="J16" s="249">
        <f t="shared" si="12"/>
        <v>9114.952686</v>
      </c>
      <c r="K16" s="249">
        <f t="shared" si="12"/>
        <v>330294</v>
      </c>
      <c r="L16" s="249">
        <f t="shared" si="12"/>
        <v>9950.437044</v>
      </c>
      <c r="M16" s="249">
        <f t="shared" si="12"/>
        <v>352945</v>
      </c>
      <c r="N16" s="249">
        <f t="shared" si="12"/>
        <v>10632.82107</v>
      </c>
      <c r="O16" s="249">
        <f>SUM(O17:O18)</f>
        <v>160248</v>
      </c>
      <c r="P16" s="1553">
        <f>SUM(P17:P18)</f>
        <v>4827.631248000001</v>
      </c>
      <c r="Q16" s="2302">
        <v>167196</v>
      </c>
      <c r="R16" s="2303">
        <f t="shared" si="11"/>
        <v>5036.946696000001</v>
      </c>
      <c r="S16" s="2291"/>
      <c r="T16" s="249"/>
      <c r="U16" s="249"/>
      <c r="V16" s="304"/>
    </row>
    <row r="17" spans="1:22" s="437" customFormat="1" ht="15" customHeight="1" hidden="1">
      <c r="A17" s="436"/>
      <c r="B17" s="899" t="s">
        <v>1153</v>
      </c>
      <c r="C17" s="882"/>
      <c r="D17" s="2567"/>
      <c r="E17" s="2587"/>
      <c r="F17" s="2588"/>
      <c r="G17" s="443">
        <v>6759</v>
      </c>
      <c r="H17" s="656">
        <f>G17*30.126/1000</f>
        <v>203.62163400000003</v>
      </c>
      <c r="I17" s="657">
        <v>6759</v>
      </c>
      <c r="J17" s="657">
        <f>I17*30.126/1000</f>
        <v>203.62163400000003</v>
      </c>
      <c r="K17" s="657">
        <v>7303</v>
      </c>
      <c r="L17" s="657">
        <f>K17*30.126/1000</f>
        <v>220.01017800000002</v>
      </c>
      <c r="M17" s="657">
        <v>7884</v>
      </c>
      <c r="N17" s="657">
        <f>M17*30.126/1000</f>
        <v>237.51338400000003</v>
      </c>
      <c r="O17" s="657">
        <v>6759</v>
      </c>
      <c r="P17" s="2596">
        <f>O17*30.126/1000</f>
        <v>203.62163400000003</v>
      </c>
      <c r="Q17" s="2620"/>
      <c r="R17" s="2303">
        <f t="shared" si="11"/>
        <v>0</v>
      </c>
      <c r="S17" s="2606"/>
      <c r="T17" s="657"/>
      <c r="U17" s="657"/>
      <c r="V17" s="658"/>
    </row>
    <row r="18" spans="1:22" ht="15" customHeight="1" hidden="1">
      <c r="A18" s="116"/>
      <c r="B18" s="900" t="s">
        <v>55</v>
      </c>
      <c r="C18" s="881"/>
      <c r="D18" s="2566"/>
      <c r="E18" s="2585"/>
      <c r="F18" s="2586"/>
      <c r="G18" s="444">
        <v>295802</v>
      </c>
      <c r="H18" s="655">
        <f>G18*30.126/1000</f>
        <v>8911.331052000001</v>
      </c>
      <c r="I18" s="333">
        <v>295802</v>
      </c>
      <c r="J18" s="333">
        <f>I18*30.126/1000</f>
        <v>8911.331052000001</v>
      </c>
      <c r="K18" s="333">
        <v>322991</v>
      </c>
      <c r="L18" s="333">
        <f>K18*30.126/1000</f>
        <v>9730.426866</v>
      </c>
      <c r="M18" s="333">
        <v>345061</v>
      </c>
      <c r="N18" s="333">
        <f>M18*30.126/1000</f>
        <v>10395.307686</v>
      </c>
      <c r="O18" s="333">
        <v>153489</v>
      </c>
      <c r="P18" s="2595">
        <f>O18*30.126/1000</f>
        <v>4624.0096140000005</v>
      </c>
      <c r="Q18" s="2618">
        <v>157150</v>
      </c>
      <c r="R18" s="2303">
        <f t="shared" si="11"/>
        <v>4734.3009</v>
      </c>
      <c r="S18" s="2605"/>
      <c r="T18" s="333"/>
      <c r="U18" s="333"/>
      <c r="V18" s="332"/>
    </row>
    <row r="19" spans="1:22" ht="15" customHeight="1" hidden="1">
      <c r="A19" s="116"/>
      <c r="B19" s="789" t="s">
        <v>501</v>
      </c>
      <c r="C19" s="883">
        <v>5457</v>
      </c>
      <c r="D19" s="2305">
        <v>5993</v>
      </c>
      <c r="E19" s="772"/>
      <c r="F19" s="139"/>
      <c r="G19" s="446"/>
      <c r="H19" s="354"/>
      <c r="I19" s="249"/>
      <c r="J19" s="249"/>
      <c r="K19" s="249"/>
      <c r="L19" s="249"/>
      <c r="M19" s="249"/>
      <c r="N19" s="249"/>
      <c r="O19" s="249"/>
      <c r="P19" s="1553"/>
      <c r="Q19" s="2302"/>
      <c r="R19" s="2303">
        <f t="shared" si="11"/>
        <v>0</v>
      </c>
      <c r="S19" s="2291"/>
      <c r="T19" s="249"/>
      <c r="U19" s="249"/>
      <c r="V19" s="304"/>
    </row>
    <row r="20" spans="1:22" ht="15" customHeight="1">
      <c r="A20" s="116"/>
      <c r="B20" s="789" t="s">
        <v>1007</v>
      </c>
      <c r="C20" s="883">
        <v>4563</v>
      </c>
      <c r="D20" s="2305">
        <v>5084</v>
      </c>
      <c r="E20" s="772">
        <v>142523</v>
      </c>
      <c r="F20" s="139">
        <f>(E20*30.126)/1000</f>
        <v>4293.647898</v>
      </c>
      <c r="G20" s="446">
        <f>SUM(G21:G22)</f>
        <v>232250</v>
      </c>
      <c r="H20" s="354">
        <f aca="true" t="shared" si="13" ref="H20:N20">SUM(H21:H22)</f>
        <v>6996.7635</v>
      </c>
      <c r="I20" s="249">
        <f t="shared" si="13"/>
        <v>232250</v>
      </c>
      <c r="J20" s="249">
        <f t="shared" si="13"/>
        <v>6996.7635</v>
      </c>
      <c r="K20" s="249">
        <f t="shared" si="13"/>
        <v>252250</v>
      </c>
      <c r="L20" s="249">
        <f t="shared" si="13"/>
        <v>7599.2835000000005</v>
      </c>
      <c r="M20" s="249">
        <f t="shared" si="13"/>
        <v>272250</v>
      </c>
      <c r="N20" s="249">
        <f t="shared" si="13"/>
        <v>8201.803500000002</v>
      </c>
      <c r="O20" s="249">
        <f>SUM(O21:O22)</f>
        <v>182485</v>
      </c>
      <c r="P20" s="1553">
        <f>SUM(P21:P22)</f>
        <v>5497.54311</v>
      </c>
      <c r="Q20" s="2302">
        <v>126951</v>
      </c>
      <c r="R20" s="2303">
        <f t="shared" si="11"/>
        <v>3824.5258260000005</v>
      </c>
      <c r="S20" s="2291"/>
      <c r="T20" s="249"/>
      <c r="U20" s="249"/>
      <c r="V20" s="304"/>
    </row>
    <row r="21" spans="1:22" s="437" customFormat="1" ht="15" customHeight="1" hidden="1">
      <c r="A21" s="436"/>
      <c r="B21" s="899" t="s">
        <v>1153</v>
      </c>
      <c r="C21" s="882"/>
      <c r="D21" s="2567"/>
      <c r="E21" s="2587"/>
      <c r="F21" s="2588"/>
      <c r="G21" s="443">
        <v>36100</v>
      </c>
      <c r="H21" s="656">
        <f>G21*30.126/1000</f>
        <v>1087.5486</v>
      </c>
      <c r="I21" s="657">
        <v>36100</v>
      </c>
      <c r="J21" s="657">
        <f>I21*30.126/1000</f>
        <v>1087.5486</v>
      </c>
      <c r="K21" s="657">
        <v>36100</v>
      </c>
      <c r="L21" s="657">
        <f>K21*30.126/1000</f>
        <v>1087.5486</v>
      </c>
      <c r="M21" s="657">
        <v>36100</v>
      </c>
      <c r="N21" s="657">
        <f>M21*30.126/1000</f>
        <v>1087.5486</v>
      </c>
      <c r="O21" s="657">
        <v>36100</v>
      </c>
      <c r="P21" s="2596">
        <f>O21*30.126/1000</f>
        <v>1087.5486</v>
      </c>
      <c r="Q21" s="2620"/>
      <c r="R21" s="2303">
        <f t="shared" si="11"/>
        <v>0</v>
      </c>
      <c r="S21" s="2606"/>
      <c r="T21" s="657"/>
      <c r="U21" s="657"/>
      <c r="V21" s="658"/>
    </row>
    <row r="22" spans="1:22" ht="15" customHeight="1" hidden="1">
      <c r="A22" s="116"/>
      <c r="B22" s="900" t="s">
        <v>55</v>
      </c>
      <c r="C22" s="881"/>
      <c r="D22" s="2566"/>
      <c r="E22" s="2585"/>
      <c r="F22" s="2586"/>
      <c r="G22" s="444">
        <v>196150</v>
      </c>
      <c r="H22" s="655">
        <f>G22*30.126/1000</f>
        <v>5909.2149</v>
      </c>
      <c r="I22" s="333">
        <v>196150</v>
      </c>
      <c r="J22" s="333">
        <f>I22*30.126/1000</f>
        <v>5909.2149</v>
      </c>
      <c r="K22" s="333">
        <v>216150</v>
      </c>
      <c r="L22" s="333">
        <f>K22*30.126/1000</f>
        <v>6511.7349</v>
      </c>
      <c r="M22" s="333">
        <v>236150</v>
      </c>
      <c r="N22" s="333">
        <f>M22*30.126/1000</f>
        <v>7114.254900000001</v>
      </c>
      <c r="O22" s="333">
        <v>146385</v>
      </c>
      <c r="P22" s="2595">
        <f>O22*30.126/1000</f>
        <v>4409.9945099999995</v>
      </c>
      <c r="Q22" s="2618">
        <v>179448</v>
      </c>
      <c r="R22" s="2303">
        <f t="shared" si="11"/>
        <v>5406.050448</v>
      </c>
      <c r="S22" s="2605"/>
      <c r="T22" s="333"/>
      <c r="U22" s="333"/>
      <c r="V22" s="332"/>
    </row>
    <row r="23" spans="1:22" ht="15" customHeight="1">
      <c r="A23" s="116"/>
      <c r="B23" s="789" t="s">
        <v>1008</v>
      </c>
      <c r="C23" s="883">
        <v>11586</v>
      </c>
      <c r="D23" s="2305">
        <v>14255</v>
      </c>
      <c r="E23" s="772">
        <v>491204</v>
      </c>
      <c r="F23" s="139">
        <f>(E23*30.126)/1000</f>
        <v>14798.011704</v>
      </c>
      <c r="G23" s="446">
        <f>SUM(G24:G25)</f>
        <v>621391</v>
      </c>
      <c r="H23" s="354">
        <f aca="true" t="shared" si="14" ref="H23:N23">SUM(H24:H25)</f>
        <v>18720.025266</v>
      </c>
      <c r="I23" s="249">
        <f t="shared" si="14"/>
        <v>577954</v>
      </c>
      <c r="J23" s="249">
        <f t="shared" si="14"/>
        <v>17411.442204</v>
      </c>
      <c r="K23" s="249">
        <f t="shared" si="14"/>
        <v>665934</v>
      </c>
      <c r="L23" s="249">
        <f t="shared" si="14"/>
        <v>20061.927684000002</v>
      </c>
      <c r="M23" s="249">
        <f t="shared" si="14"/>
        <v>718628</v>
      </c>
      <c r="N23" s="249">
        <f t="shared" si="14"/>
        <v>21649.387128000002</v>
      </c>
      <c r="O23" s="249">
        <f>SUM(O24:O25)</f>
        <v>395556</v>
      </c>
      <c r="P23" s="1553">
        <f>SUM(P24:P25)</f>
        <v>11916.520056000001</v>
      </c>
      <c r="Q23" s="2302">
        <v>402850</v>
      </c>
      <c r="R23" s="2303">
        <f t="shared" si="11"/>
        <v>12136.2591</v>
      </c>
      <c r="S23" s="2291"/>
      <c r="T23" s="249"/>
      <c r="U23" s="249"/>
      <c r="V23" s="304"/>
    </row>
    <row r="24" spans="1:22" s="437" customFormat="1" ht="15" customHeight="1" hidden="1">
      <c r="A24" s="436"/>
      <c r="B24" s="899" t="s">
        <v>1153</v>
      </c>
      <c r="C24" s="882"/>
      <c r="D24" s="2567"/>
      <c r="E24" s="2587"/>
      <c r="F24" s="2588"/>
      <c r="G24" s="443">
        <v>40713</v>
      </c>
      <c r="H24" s="656">
        <f>G24*30.126/1000</f>
        <v>1226.519838</v>
      </c>
      <c r="I24" s="657">
        <v>40713</v>
      </c>
      <c r="J24" s="657">
        <f>I24*30.126/1000</f>
        <v>1226.519838</v>
      </c>
      <c r="K24" s="657">
        <v>48630</v>
      </c>
      <c r="L24" s="657">
        <f>K24*30.126/1000</f>
        <v>1465.0273800000002</v>
      </c>
      <c r="M24" s="657">
        <v>59668</v>
      </c>
      <c r="N24" s="657">
        <f>M24*30.126/1000</f>
        <v>1797.558168</v>
      </c>
      <c r="O24" s="657">
        <v>40713</v>
      </c>
      <c r="P24" s="2596">
        <f>O24*30.126/1000</f>
        <v>1226.519838</v>
      </c>
      <c r="Q24" s="2620">
        <v>40713</v>
      </c>
      <c r="R24" s="2303">
        <f t="shared" si="11"/>
        <v>1226.519838</v>
      </c>
      <c r="S24" s="2606"/>
      <c r="T24" s="657"/>
      <c r="U24" s="657"/>
      <c r="V24" s="658"/>
    </row>
    <row r="25" spans="1:22" ht="15" customHeight="1" hidden="1">
      <c r="A25" s="116"/>
      <c r="B25" s="900" t="s">
        <v>55</v>
      </c>
      <c r="C25" s="881"/>
      <c r="D25" s="2566"/>
      <c r="E25" s="2585"/>
      <c r="F25" s="2586"/>
      <c r="G25" s="444">
        <v>580678</v>
      </c>
      <c r="H25" s="655">
        <f>G25*30.126/1000</f>
        <v>17493.505428</v>
      </c>
      <c r="I25" s="333">
        <v>537241</v>
      </c>
      <c r="J25" s="333">
        <f>I25*30.126/1000</f>
        <v>16184.922366</v>
      </c>
      <c r="K25" s="333">
        <v>617304</v>
      </c>
      <c r="L25" s="333">
        <f>K25*30.126/1000</f>
        <v>18596.900304000003</v>
      </c>
      <c r="M25" s="333">
        <v>658960</v>
      </c>
      <c r="N25" s="333">
        <f>M25*30.126/1000</f>
        <v>19851.828960000003</v>
      </c>
      <c r="O25" s="333">
        <v>354843</v>
      </c>
      <c r="P25" s="2595">
        <f>O25*30.126/1000</f>
        <v>10690.000218000001</v>
      </c>
      <c r="Q25" s="2618">
        <v>340220</v>
      </c>
      <c r="R25" s="2303">
        <f t="shared" si="11"/>
        <v>10249.46772</v>
      </c>
      <c r="S25" s="2605"/>
      <c r="T25" s="333"/>
      <c r="U25" s="333"/>
      <c r="V25" s="332"/>
    </row>
    <row r="26" spans="1:22" ht="15" customHeight="1">
      <c r="A26" s="116"/>
      <c r="B26" s="789" t="s">
        <v>1009</v>
      </c>
      <c r="C26" s="883">
        <v>13714</v>
      </c>
      <c r="D26" s="2305">
        <v>17098</v>
      </c>
      <c r="E26" s="772">
        <v>679571</v>
      </c>
      <c r="F26" s="139">
        <f>(E26*30.126)/1000</f>
        <v>20472.755946</v>
      </c>
      <c r="G26" s="446">
        <f>SUM(G27:G28)</f>
        <v>665589</v>
      </c>
      <c r="H26" s="354">
        <f aca="true" t="shared" si="15" ref="H26:N26">SUM(H27:H28)</f>
        <v>20051.534214</v>
      </c>
      <c r="I26" s="249">
        <f t="shared" si="15"/>
        <v>649301</v>
      </c>
      <c r="J26" s="249">
        <f t="shared" si="15"/>
        <v>19560.841926</v>
      </c>
      <c r="K26" s="249">
        <f t="shared" si="15"/>
        <v>701127</v>
      </c>
      <c r="L26" s="249">
        <f t="shared" si="15"/>
        <v>21122.152002000003</v>
      </c>
      <c r="M26" s="249">
        <f t="shared" si="15"/>
        <v>743900</v>
      </c>
      <c r="N26" s="249">
        <f t="shared" si="15"/>
        <v>22410.731400000004</v>
      </c>
      <c r="O26" s="249">
        <f>SUM(O27:O28)</f>
        <v>479099</v>
      </c>
      <c r="P26" s="1553">
        <f>SUM(P27:P28)</f>
        <v>14433.336474000002</v>
      </c>
      <c r="Q26" s="2302">
        <v>482330</v>
      </c>
      <c r="R26" s="2303">
        <f t="shared" si="11"/>
        <v>14530.67358</v>
      </c>
      <c r="S26" s="2291"/>
      <c r="T26" s="249"/>
      <c r="U26" s="249"/>
      <c r="V26" s="304"/>
    </row>
    <row r="27" spans="1:22" s="437" customFormat="1" ht="15" customHeight="1" hidden="1">
      <c r="A27" s="436"/>
      <c r="B27" s="899" t="s">
        <v>1153</v>
      </c>
      <c r="C27" s="882"/>
      <c r="D27" s="2567"/>
      <c r="E27" s="2587"/>
      <c r="F27" s="2588"/>
      <c r="G27" s="443">
        <v>44458</v>
      </c>
      <c r="H27" s="656">
        <f>G27*30.126/1000</f>
        <v>1339.3417080000002</v>
      </c>
      <c r="I27" s="657">
        <v>44458</v>
      </c>
      <c r="J27" s="657">
        <f>I27*30.126/1000</f>
        <v>1339.3417080000002</v>
      </c>
      <c r="K27" s="657">
        <v>33611</v>
      </c>
      <c r="L27" s="657">
        <f>K27*30.126/1000</f>
        <v>1012.5649860000001</v>
      </c>
      <c r="M27" s="657">
        <v>38388</v>
      </c>
      <c r="N27" s="657">
        <f>M27*30.126/1000</f>
        <v>1156.4768880000001</v>
      </c>
      <c r="O27" s="657">
        <v>44458</v>
      </c>
      <c r="P27" s="2596">
        <f>O27*30.126/1000</f>
        <v>1339.3417080000002</v>
      </c>
      <c r="Q27" s="2620">
        <v>44458</v>
      </c>
      <c r="R27" s="2303">
        <f t="shared" si="11"/>
        <v>1339.3417080000002</v>
      </c>
      <c r="S27" s="2606"/>
      <c r="T27" s="657"/>
      <c r="U27" s="657"/>
      <c r="V27" s="658"/>
    </row>
    <row r="28" spans="1:22" ht="15" customHeight="1" hidden="1">
      <c r="A28" s="116"/>
      <c r="B28" s="900" t="s">
        <v>55</v>
      </c>
      <c r="C28" s="881"/>
      <c r="D28" s="2566"/>
      <c r="E28" s="2585"/>
      <c r="F28" s="2586"/>
      <c r="G28" s="444">
        <v>621131</v>
      </c>
      <c r="H28" s="655">
        <f>G28*30.126/1000</f>
        <v>18712.192506</v>
      </c>
      <c r="I28" s="333">
        <v>604843</v>
      </c>
      <c r="J28" s="333">
        <f>I28*30.126/1000</f>
        <v>18221.500218</v>
      </c>
      <c r="K28" s="333">
        <v>667516</v>
      </c>
      <c r="L28" s="333">
        <f>K28*30.126/1000</f>
        <v>20109.587016</v>
      </c>
      <c r="M28" s="333">
        <v>705512</v>
      </c>
      <c r="N28" s="333">
        <f>M28*30.126/1000</f>
        <v>21254.254512000003</v>
      </c>
      <c r="O28" s="333">
        <v>434641</v>
      </c>
      <c r="P28" s="2595">
        <f>O28*30.126/1000</f>
        <v>13093.994766000002</v>
      </c>
      <c r="Q28" s="2618">
        <v>421678</v>
      </c>
      <c r="R28" s="2303">
        <f t="shared" si="11"/>
        <v>12703.471428</v>
      </c>
      <c r="S28" s="2605"/>
      <c r="T28" s="333"/>
      <c r="U28" s="333"/>
      <c r="V28" s="332"/>
    </row>
    <row r="29" spans="1:22" ht="15" customHeight="1">
      <c r="A29" s="116"/>
      <c r="B29" s="789" t="s">
        <v>1010</v>
      </c>
      <c r="C29" s="883">
        <v>2378</v>
      </c>
      <c r="D29" s="2305">
        <v>2620</v>
      </c>
      <c r="E29" s="772">
        <v>95001</v>
      </c>
      <c r="F29" s="139">
        <f>(E29*30.126)/1000</f>
        <v>2862.0001260000004</v>
      </c>
      <c r="G29" s="446">
        <f>SUM(G30:G31)</f>
        <v>105977</v>
      </c>
      <c r="H29" s="354">
        <f aca="true" t="shared" si="16" ref="H29:N29">SUM(H30:H31)</f>
        <v>3192.6631020000004</v>
      </c>
      <c r="I29" s="249">
        <f t="shared" si="16"/>
        <v>99484</v>
      </c>
      <c r="J29" s="249">
        <f t="shared" si="16"/>
        <v>2997.0549840000003</v>
      </c>
      <c r="K29" s="249">
        <f t="shared" si="16"/>
        <v>112333</v>
      </c>
      <c r="L29" s="249">
        <f t="shared" si="16"/>
        <v>3384.1439580000006</v>
      </c>
      <c r="M29" s="249">
        <f t="shared" si="16"/>
        <v>119074</v>
      </c>
      <c r="N29" s="249">
        <f t="shared" si="16"/>
        <v>3587.223324</v>
      </c>
      <c r="O29" s="249">
        <f>SUM(O30:O31)</f>
        <v>75319</v>
      </c>
      <c r="P29" s="1553">
        <f>SUM(P30:P31)</f>
        <v>2269.060194</v>
      </c>
      <c r="Q29" s="2302">
        <v>78737</v>
      </c>
      <c r="R29" s="2303">
        <f t="shared" si="11"/>
        <v>2372.030862</v>
      </c>
      <c r="S29" s="2291"/>
      <c r="T29" s="249"/>
      <c r="U29" s="249"/>
      <c r="V29" s="304"/>
    </row>
    <row r="30" spans="1:22" s="437" customFormat="1" ht="15" customHeight="1" hidden="1">
      <c r="A30" s="436"/>
      <c r="B30" s="899" t="s">
        <v>1153</v>
      </c>
      <c r="C30" s="882"/>
      <c r="D30" s="2567"/>
      <c r="E30" s="2587"/>
      <c r="F30" s="2588"/>
      <c r="G30" s="443">
        <v>5711</v>
      </c>
      <c r="H30" s="656">
        <f>G30*30.126/1000</f>
        <v>172.049586</v>
      </c>
      <c r="I30" s="657">
        <v>5711</v>
      </c>
      <c r="J30" s="657">
        <f>I30*30.126/1000</f>
        <v>172.049586</v>
      </c>
      <c r="K30" s="657">
        <v>6053</v>
      </c>
      <c r="L30" s="657">
        <f>K30*30.126/1000</f>
        <v>182.35267800000003</v>
      </c>
      <c r="M30" s="657">
        <v>6416</v>
      </c>
      <c r="N30" s="657">
        <f>M30*30.126/1000</f>
        <v>193.28841599999998</v>
      </c>
      <c r="O30" s="657">
        <v>5711</v>
      </c>
      <c r="P30" s="2596">
        <f>O30*30.126/1000</f>
        <v>172.049586</v>
      </c>
      <c r="Q30" s="2620">
        <v>5711</v>
      </c>
      <c r="R30" s="2303">
        <f t="shared" si="11"/>
        <v>172.049586</v>
      </c>
      <c r="S30" s="2606"/>
      <c r="T30" s="657"/>
      <c r="U30" s="657"/>
      <c r="V30" s="658"/>
    </row>
    <row r="31" spans="1:22" ht="15" customHeight="1" hidden="1">
      <c r="A31" s="116"/>
      <c r="B31" s="900" t="s">
        <v>55</v>
      </c>
      <c r="C31" s="881"/>
      <c r="D31" s="2566"/>
      <c r="E31" s="2585"/>
      <c r="F31" s="2586"/>
      <c r="G31" s="444">
        <v>100266</v>
      </c>
      <c r="H31" s="655">
        <f>G31*30.126/1000</f>
        <v>3020.6135160000003</v>
      </c>
      <c r="I31" s="333">
        <v>93773</v>
      </c>
      <c r="J31" s="333">
        <f>I31*30.126/1000</f>
        <v>2825.0053980000002</v>
      </c>
      <c r="K31" s="333">
        <v>106280</v>
      </c>
      <c r="L31" s="333">
        <f>K31*30.126/1000</f>
        <v>3201.7912800000004</v>
      </c>
      <c r="M31" s="333">
        <v>112658</v>
      </c>
      <c r="N31" s="333">
        <f>M31*30.126/1000</f>
        <v>3393.934908</v>
      </c>
      <c r="O31" s="333">
        <v>69608</v>
      </c>
      <c r="P31" s="2595">
        <f>O31*30.126/1000</f>
        <v>2097.010608</v>
      </c>
      <c r="Q31" s="2618">
        <v>67217</v>
      </c>
      <c r="R31" s="2303">
        <f t="shared" si="11"/>
        <v>2024.979342</v>
      </c>
      <c r="S31" s="2605"/>
      <c r="T31" s="333"/>
      <c r="U31" s="333"/>
      <c r="V31" s="332"/>
    </row>
    <row r="32" spans="1:22" ht="15" customHeight="1">
      <c r="A32" s="116"/>
      <c r="B32" s="789" t="s">
        <v>1011</v>
      </c>
      <c r="C32" s="883"/>
      <c r="D32" s="2305"/>
      <c r="E32" s="772">
        <v>19916</v>
      </c>
      <c r="F32" s="139">
        <f>(E32*30.126)/1000</f>
        <v>599.989416</v>
      </c>
      <c r="G32" s="446">
        <f>SUM(G33:G34)</f>
        <v>57735</v>
      </c>
      <c r="H32" s="354">
        <f aca="true" t="shared" si="17" ref="H32:N32">SUM(H33:H34)</f>
        <v>1739.3246100000001</v>
      </c>
      <c r="I32" s="249">
        <f t="shared" si="17"/>
        <v>56937</v>
      </c>
      <c r="J32" s="249">
        <f t="shared" si="17"/>
        <v>1715.2840620000002</v>
      </c>
      <c r="K32" s="249">
        <f t="shared" si="17"/>
        <v>58650</v>
      </c>
      <c r="L32" s="249">
        <f t="shared" si="17"/>
        <v>1766.8899</v>
      </c>
      <c r="M32" s="249">
        <f t="shared" si="17"/>
        <v>59645</v>
      </c>
      <c r="N32" s="249">
        <f t="shared" si="17"/>
        <v>1796.86527</v>
      </c>
      <c r="O32" s="249">
        <f>SUM(O33:O34)</f>
        <v>56937</v>
      </c>
      <c r="P32" s="1553">
        <f>SUM(P33:P34)</f>
        <v>1715.2840620000002</v>
      </c>
      <c r="Q32" s="2302">
        <v>52130</v>
      </c>
      <c r="R32" s="2303">
        <f t="shared" si="11"/>
        <v>1570.46838</v>
      </c>
      <c r="S32" s="2291"/>
      <c r="T32" s="249"/>
      <c r="U32" s="249"/>
      <c r="V32" s="304"/>
    </row>
    <row r="33" spans="1:22" s="437" customFormat="1" ht="15" customHeight="1" hidden="1">
      <c r="A33" s="436"/>
      <c r="B33" s="899" t="s">
        <v>1153</v>
      </c>
      <c r="C33" s="882"/>
      <c r="D33" s="2567"/>
      <c r="E33" s="2587"/>
      <c r="F33" s="2588"/>
      <c r="G33" s="443">
        <v>570</v>
      </c>
      <c r="H33" s="656">
        <f>G33*30.126/1000</f>
        <v>17.17182</v>
      </c>
      <c r="I33" s="657">
        <v>570</v>
      </c>
      <c r="J33" s="657">
        <f>I33*30.126/1000</f>
        <v>17.17182</v>
      </c>
      <c r="K33" s="657">
        <v>630</v>
      </c>
      <c r="L33" s="657">
        <f>K33*30.126/1000</f>
        <v>18.979380000000003</v>
      </c>
      <c r="M33" s="657">
        <v>690</v>
      </c>
      <c r="N33" s="657">
        <f>M33*30.126/1000</f>
        <v>20.78694</v>
      </c>
      <c r="O33" s="657">
        <v>570</v>
      </c>
      <c r="P33" s="2596">
        <f>O33*30.126/1000</f>
        <v>17.17182</v>
      </c>
      <c r="Q33" s="2620">
        <v>570</v>
      </c>
      <c r="R33" s="2303">
        <f t="shared" si="11"/>
        <v>17.17182</v>
      </c>
      <c r="S33" s="2606"/>
      <c r="T33" s="657"/>
      <c r="U33" s="657"/>
      <c r="V33" s="658"/>
    </row>
    <row r="34" spans="1:22" ht="15" customHeight="1" hidden="1">
      <c r="A34" s="116"/>
      <c r="B34" s="900" t="s">
        <v>55</v>
      </c>
      <c r="C34" s="881"/>
      <c r="D34" s="2566"/>
      <c r="E34" s="2585"/>
      <c r="F34" s="2586"/>
      <c r="G34" s="444">
        <v>57165</v>
      </c>
      <c r="H34" s="655">
        <f>G34*30.126/1000</f>
        <v>1722.15279</v>
      </c>
      <c r="I34" s="333">
        <v>56367</v>
      </c>
      <c r="J34" s="333">
        <f>I34*30.126/1000</f>
        <v>1698.1122420000002</v>
      </c>
      <c r="K34" s="333">
        <v>58020</v>
      </c>
      <c r="L34" s="333">
        <f>K34*30.126/1000</f>
        <v>1747.91052</v>
      </c>
      <c r="M34" s="333">
        <v>58955</v>
      </c>
      <c r="N34" s="333">
        <f>M34*30.126/1000</f>
        <v>1776.07833</v>
      </c>
      <c r="O34" s="333">
        <v>56367</v>
      </c>
      <c r="P34" s="2595">
        <f>O34*30.126/1000</f>
        <v>1698.1122420000002</v>
      </c>
      <c r="Q34" s="2618">
        <v>54743</v>
      </c>
      <c r="R34" s="2303">
        <f t="shared" si="11"/>
        <v>1649.187618</v>
      </c>
      <c r="S34" s="2605"/>
      <c r="T34" s="333"/>
      <c r="U34" s="333"/>
      <c r="V34" s="332"/>
    </row>
    <row r="35" spans="1:22" ht="15" customHeight="1">
      <c r="A35" s="116"/>
      <c r="B35" s="789" t="s">
        <v>1012</v>
      </c>
      <c r="C35" s="883">
        <f>73151+240</f>
        <v>73391</v>
      </c>
      <c r="D35" s="2305">
        <v>77025</v>
      </c>
      <c r="E35" s="772">
        <v>2914045</v>
      </c>
      <c r="F35" s="139">
        <f>(E35*30.126)/1000</f>
        <v>87788.51967000001</v>
      </c>
      <c r="G35" s="446">
        <f>SUM(G36:G37)</f>
        <v>3378887</v>
      </c>
      <c r="H35" s="354">
        <f aca="true" t="shared" si="18" ref="H35:N35">SUM(H36:H37)</f>
        <v>101792.349762</v>
      </c>
      <c r="I35" s="249">
        <f t="shared" si="18"/>
        <v>3378887</v>
      </c>
      <c r="J35" s="249">
        <f t="shared" si="18"/>
        <v>101792.349762</v>
      </c>
      <c r="K35" s="249">
        <f t="shared" si="18"/>
        <v>3495526</v>
      </c>
      <c r="L35" s="249">
        <f t="shared" si="18"/>
        <v>105306.216276</v>
      </c>
      <c r="M35" s="249">
        <f t="shared" si="18"/>
        <v>3633541</v>
      </c>
      <c r="N35" s="249">
        <f t="shared" si="18"/>
        <v>109464.05616600001</v>
      </c>
      <c r="O35" s="249">
        <f>SUM(O36:O37)</f>
        <v>3214228</v>
      </c>
      <c r="P35" s="1553">
        <f>SUM(P36:P37)</f>
        <v>96831.83272800001</v>
      </c>
      <c r="Q35" s="2302">
        <v>2980179</v>
      </c>
      <c r="R35" s="2303">
        <f t="shared" si="11"/>
        <v>89780.872554</v>
      </c>
      <c r="S35" s="2291"/>
      <c r="T35" s="249"/>
      <c r="U35" s="249"/>
      <c r="V35" s="304"/>
    </row>
    <row r="36" spans="1:22" s="437" customFormat="1" ht="15" customHeight="1" hidden="1">
      <c r="A36" s="436"/>
      <c r="B36" s="899" t="s">
        <v>1153</v>
      </c>
      <c r="C36" s="882"/>
      <c r="D36" s="2567"/>
      <c r="E36" s="2587"/>
      <c r="F36" s="2588"/>
      <c r="G36" s="443">
        <v>27975</v>
      </c>
      <c r="H36" s="656">
        <f>G36*30.126/1000</f>
        <v>842.77485</v>
      </c>
      <c r="I36" s="657">
        <v>27975</v>
      </c>
      <c r="J36" s="657">
        <f>I36*30.126/1000</f>
        <v>842.77485</v>
      </c>
      <c r="K36" s="657">
        <v>28757</v>
      </c>
      <c r="L36" s="657">
        <f>K36*30.126/1000</f>
        <v>866.333382</v>
      </c>
      <c r="M36" s="657">
        <v>29561</v>
      </c>
      <c r="N36" s="657">
        <f>M36*30.126/1000</f>
        <v>890.554686</v>
      </c>
      <c r="O36" s="657">
        <v>27975</v>
      </c>
      <c r="P36" s="2596">
        <f>O36*30.126/1000</f>
        <v>842.77485</v>
      </c>
      <c r="Q36" s="2620">
        <v>27975</v>
      </c>
      <c r="R36" s="2303">
        <f t="shared" si="11"/>
        <v>842.77485</v>
      </c>
      <c r="S36" s="2606"/>
      <c r="T36" s="657"/>
      <c r="U36" s="657"/>
      <c r="V36" s="658"/>
    </row>
    <row r="37" spans="1:22" ht="15" customHeight="1" hidden="1">
      <c r="A37" s="116"/>
      <c r="B37" s="900" t="s">
        <v>55</v>
      </c>
      <c r="C37" s="881"/>
      <c r="D37" s="2566"/>
      <c r="E37" s="2585"/>
      <c r="F37" s="2586"/>
      <c r="G37" s="444">
        <v>3350912</v>
      </c>
      <c r="H37" s="655">
        <f>G37*30.126/1000</f>
        <v>100949.574912</v>
      </c>
      <c r="I37" s="333">
        <v>3350912</v>
      </c>
      <c r="J37" s="333">
        <f>I37*30.126/1000</f>
        <v>100949.574912</v>
      </c>
      <c r="K37" s="333">
        <v>3466769</v>
      </c>
      <c r="L37" s="333">
        <f>K37*30.126/1000</f>
        <v>104439.88289400001</v>
      </c>
      <c r="M37" s="333">
        <v>3603980</v>
      </c>
      <c r="N37" s="333">
        <f>M37*30.126/1000</f>
        <v>108573.50148</v>
      </c>
      <c r="O37" s="333">
        <v>3186253</v>
      </c>
      <c r="P37" s="2595">
        <f>O37*30.126/1000</f>
        <v>95989.057878</v>
      </c>
      <c r="Q37" s="2618">
        <v>3010315</v>
      </c>
      <c r="R37" s="2303">
        <f t="shared" si="11"/>
        <v>90688.74969</v>
      </c>
      <c r="S37" s="2605"/>
      <c r="T37" s="333"/>
      <c r="U37" s="333"/>
      <c r="V37" s="332"/>
    </row>
    <row r="38" spans="1:22" ht="15" customHeight="1">
      <c r="A38" s="116"/>
      <c r="B38" s="789" t="s">
        <v>1013</v>
      </c>
      <c r="C38" s="883">
        <v>229</v>
      </c>
      <c r="D38" s="2305">
        <v>255</v>
      </c>
      <c r="E38" s="772">
        <v>14937</v>
      </c>
      <c r="F38" s="139">
        <f>(E38*30.126)/1000</f>
        <v>449.99206200000003</v>
      </c>
      <c r="G38" s="446"/>
      <c r="H38" s="354"/>
      <c r="I38" s="249"/>
      <c r="J38" s="249"/>
      <c r="K38" s="249"/>
      <c r="L38" s="249"/>
      <c r="M38" s="249"/>
      <c r="N38" s="249"/>
      <c r="O38" s="249"/>
      <c r="P38" s="1553"/>
      <c r="Q38" s="2302"/>
      <c r="R38" s="2303"/>
      <c r="S38" s="2291"/>
      <c r="T38" s="249"/>
      <c r="U38" s="249"/>
      <c r="V38" s="304"/>
    </row>
    <row r="39" spans="1:22" ht="15" customHeight="1">
      <c r="A39" s="116"/>
      <c r="B39" s="789" t="s">
        <v>1014</v>
      </c>
      <c r="C39" s="883">
        <v>600</v>
      </c>
      <c r="D39" s="2305">
        <v>600</v>
      </c>
      <c r="E39" s="772">
        <v>21577</v>
      </c>
      <c r="F39" s="139">
        <f>(E39*30.126)/1000</f>
        <v>650.0287020000001</v>
      </c>
      <c r="G39" s="446">
        <f aca="true" t="shared" si="19" ref="G39:N39">SUM(G40:G41)</f>
        <v>23235</v>
      </c>
      <c r="H39" s="354">
        <f t="shared" si="19"/>
        <v>699.97761</v>
      </c>
      <c r="I39" s="249">
        <f t="shared" si="19"/>
        <v>23235</v>
      </c>
      <c r="J39" s="249">
        <f t="shared" si="19"/>
        <v>699.97761</v>
      </c>
      <c r="K39" s="249">
        <f t="shared" si="19"/>
        <v>23235</v>
      </c>
      <c r="L39" s="249">
        <f t="shared" si="19"/>
        <v>699.97761</v>
      </c>
      <c r="M39" s="249">
        <f t="shared" si="19"/>
        <v>23235</v>
      </c>
      <c r="N39" s="249">
        <f t="shared" si="19"/>
        <v>699.97761</v>
      </c>
      <c r="O39" s="249">
        <f>SUM(O40:O41)</f>
        <v>19916</v>
      </c>
      <c r="P39" s="1553">
        <f>SUM(P40:P41)</f>
        <v>599.989416</v>
      </c>
      <c r="Q39" s="2302">
        <v>48312</v>
      </c>
      <c r="R39" s="2303">
        <f t="shared" si="11"/>
        <v>1455.4473120000002</v>
      </c>
      <c r="S39" s="2291"/>
      <c r="T39" s="249"/>
      <c r="U39" s="249"/>
      <c r="V39" s="304"/>
    </row>
    <row r="40" spans="1:22" s="437" customFormat="1" ht="15" customHeight="1" hidden="1">
      <c r="A40" s="436"/>
      <c r="B40" s="899" t="s">
        <v>1153</v>
      </c>
      <c r="C40" s="882"/>
      <c r="D40" s="2567"/>
      <c r="E40" s="2587"/>
      <c r="F40" s="2588"/>
      <c r="G40" s="443">
        <v>0</v>
      </c>
      <c r="H40" s="656">
        <f>G40*30.126/1000</f>
        <v>0</v>
      </c>
      <c r="I40" s="657"/>
      <c r="J40" s="657"/>
      <c r="K40" s="657">
        <v>0</v>
      </c>
      <c r="L40" s="657">
        <f>K40*30.126/1000</f>
        <v>0</v>
      </c>
      <c r="M40" s="657">
        <v>0</v>
      </c>
      <c r="N40" s="657">
        <f>M40*30.126/1000</f>
        <v>0</v>
      </c>
      <c r="O40" s="657"/>
      <c r="P40" s="2596"/>
      <c r="Q40" s="2620"/>
      <c r="R40" s="2303">
        <f t="shared" si="11"/>
        <v>0</v>
      </c>
      <c r="S40" s="2606"/>
      <c r="T40" s="657"/>
      <c r="U40" s="657"/>
      <c r="V40" s="658"/>
    </row>
    <row r="41" spans="1:22" ht="15" customHeight="1" hidden="1">
      <c r="A41" s="116"/>
      <c r="B41" s="900" t="s">
        <v>55</v>
      </c>
      <c r="C41" s="881"/>
      <c r="D41" s="2566"/>
      <c r="E41" s="2585"/>
      <c r="F41" s="2586"/>
      <c r="G41" s="444">
        <v>23235</v>
      </c>
      <c r="H41" s="655">
        <f>G41*30.126/1000</f>
        <v>699.97761</v>
      </c>
      <c r="I41" s="333">
        <v>23235</v>
      </c>
      <c r="J41" s="333">
        <f>I41*30.126/1000</f>
        <v>699.97761</v>
      </c>
      <c r="K41" s="333">
        <v>23235</v>
      </c>
      <c r="L41" s="333">
        <f>K41*30.126/1000</f>
        <v>699.97761</v>
      </c>
      <c r="M41" s="333">
        <v>23235</v>
      </c>
      <c r="N41" s="333">
        <f>M41*30.126/1000</f>
        <v>699.97761</v>
      </c>
      <c r="O41" s="333">
        <v>19916</v>
      </c>
      <c r="P41" s="2595">
        <f>O41*30.126/1000</f>
        <v>599.989416</v>
      </c>
      <c r="Q41" s="2618">
        <v>19916</v>
      </c>
      <c r="R41" s="2303">
        <f t="shared" si="11"/>
        <v>599.989416</v>
      </c>
      <c r="S41" s="2605"/>
      <c r="T41" s="333"/>
      <c r="U41" s="333"/>
      <c r="V41" s="332"/>
    </row>
    <row r="42" spans="1:22" ht="15" customHeight="1">
      <c r="A42" s="116"/>
      <c r="B42" s="789" t="s">
        <v>502</v>
      </c>
      <c r="C42" s="883">
        <v>9964</v>
      </c>
      <c r="D42" s="2305">
        <v>9983</v>
      </c>
      <c r="E42" s="772">
        <v>336519</v>
      </c>
      <c r="F42" s="139">
        <f>(E42*30.126)/1000</f>
        <v>10137.971394000002</v>
      </c>
      <c r="G42" s="446">
        <f>SUM(G43:G44)</f>
        <v>505745</v>
      </c>
      <c r="H42" s="354">
        <f aca="true" t="shared" si="20" ref="H42:N42">SUM(H43:H44)</f>
        <v>15236.07387</v>
      </c>
      <c r="I42" s="249">
        <f t="shared" si="20"/>
        <v>505208</v>
      </c>
      <c r="J42" s="249">
        <f t="shared" si="20"/>
        <v>15219.896208</v>
      </c>
      <c r="K42" s="249">
        <f t="shared" si="20"/>
        <v>505745</v>
      </c>
      <c r="L42" s="249">
        <f t="shared" si="20"/>
        <v>15236.07387</v>
      </c>
      <c r="M42" s="249">
        <f t="shared" si="20"/>
        <v>505745</v>
      </c>
      <c r="N42" s="249">
        <f t="shared" si="20"/>
        <v>15236.07387</v>
      </c>
      <c r="O42" s="249">
        <f>SUM(O43:O44)</f>
        <v>455222</v>
      </c>
      <c r="P42" s="1553">
        <f>SUM(P43:P44)</f>
        <v>13714.017972000001</v>
      </c>
      <c r="Q42" s="2302">
        <v>414234</v>
      </c>
      <c r="R42" s="2303">
        <f t="shared" si="11"/>
        <v>12479.213484000002</v>
      </c>
      <c r="S42" s="2291"/>
      <c r="T42" s="249"/>
      <c r="U42" s="249"/>
      <c r="V42" s="304"/>
    </row>
    <row r="43" spans="1:22" s="437" customFormat="1" ht="15" customHeight="1" hidden="1">
      <c r="A43" s="436"/>
      <c r="B43" s="899" t="s">
        <v>1153</v>
      </c>
      <c r="C43" s="882"/>
      <c r="D43" s="2567"/>
      <c r="E43" s="2587"/>
      <c r="F43" s="2588"/>
      <c r="G43" s="443">
        <v>505745</v>
      </c>
      <c r="H43" s="656">
        <f>G43*30.126/1000</f>
        <v>15236.07387</v>
      </c>
      <c r="I43" s="657">
        <v>505208</v>
      </c>
      <c r="J43" s="657">
        <f>I43*30.126/1000</f>
        <v>15219.896208</v>
      </c>
      <c r="K43" s="657">
        <v>505745</v>
      </c>
      <c r="L43" s="657">
        <f>K43*30.126/1000</f>
        <v>15236.07387</v>
      </c>
      <c r="M43" s="657">
        <v>505745</v>
      </c>
      <c r="N43" s="657">
        <f>M43*30.126/1000</f>
        <v>15236.07387</v>
      </c>
      <c r="O43" s="657">
        <v>455222</v>
      </c>
      <c r="P43" s="2596">
        <f>O43*30.126/1000</f>
        <v>13714.017972000001</v>
      </c>
      <c r="Q43" s="2620"/>
      <c r="R43" s="2621"/>
      <c r="S43" s="2606"/>
      <c r="T43" s="657"/>
      <c r="U43" s="657"/>
      <c r="V43" s="658"/>
    </row>
    <row r="44" spans="1:22" ht="15" customHeight="1" hidden="1">
      <c r="A44" s="116"/>
      <c r="B44" s="900" t="s">
        <v>55</v>
      </c>
      <c r="C44" s="881"/>
      <c r="D44" s="2566"/>
      <c r="E44" s="2585"/>
      <c r="F44" s="2586"/>
      <c r="G44" s="444">
        <v>0</v>
      </c>
      <c r="H44" s="655">
        <f>G44*30.126/1000</f>
        <v>0</v>
      </c>
      <c r="I44" s="333"/>
      <c r="J44" s="333"/>
      <c r="K44" s="333">
        <v>0</v>
      </c>
      <c r="L44" s="333">
        <f>K44*30.126/1000</f>
        <v>0</v>
      </c>
      <c r="M44" s="333">
        <v>0</v>
      </c>
      <c r="N44" s="333">
        <f>M44*30.126/1000</f>
        <v>0</v>
      </c>
      <c r="O44" s="333"/>
      <c r="P44" s="2595"/>
      <c r="Q44" s="2618">
        <v>442630</v>
      </c>
      <c r="R44" s="2619">
        <v>13335</v>
      </c>
      <c r="S44" s="2605"/>
      <c r="T44" s="333"/>
      <c r="U44" s="333"/>
      <c r="V44" s="332"/>
    </row>
    <row r="45" spans="1:22" ht="15" customHeight="1" hidden="1">
      <c r="A45" s="130" t="s">
        <v>500</v>
      </c>
      <c r="B45" s="898" t="s">
        <v>283</v>
      </c>
      <c r="C45" s="783">
        <f>C46</f>
        <v>300</v>
      </c>
      <c r="D45" s="458">
        <f aca="true" t="shared" si="21" ref="D45:R45">D46</f>
        <v>250</v>
      </c>
      <c r="E45" s="773">
        <f t="shared" si="21"/>
        <v>0</v>
      </c>
      <c r="F45" s="481">
        <f t="shared" si="21"/>
        <v>0</v>
      </c>
      <c r="G45" s="466">
        <f t="shared" si="21"/>
        <v>0</v>
      </c>
      <c r="H45" s="659">
        <f t="shared" si="21"/>
        <v>0</v>
      </c>
      <c r="I45" s="251">
        <f t="shared" si="21"/>
        <v>0</v>
      </c>
      <c r="J45" s="251">
        <f t="shared" si="21"/>
        <v>0</v>
      </c>
      <c r="K45" s="251">
        <f t="shared" si="21"/>
        <v>0</v>
      </c>
      <c r="L45" s="251">
        <f t="shared" si="21"/>
        <v>0</v>
      </c>
      <c r="M45" s="251">
        <f t="shared" si="21"/>
        <v>0</v>
      </c>
      <c r="N45" s="251">
        <f t="shared" si="21"/>
        <v>0</v>
      </c>
      <c r="O45" s="251">
        <f t="shared" si="21"/>
        <v>0</v>
      </c>
      <c r="P45" s="2597">
        <f t="shared" si="21"/>
        <v>0</v>
      </c>
      <c r="Q45" s="2622">
        <f t="shared" si="21"/>
        <v>0</v>
      </c>
      <c r="R45" s="2623">
        <f t="shared" si="21"/>
        <v>0</v>
      </c>
      <c r="S45" s="2607"/>
      <c r="T45" s="251"/>
      <c r="U45" s="251"/>
      <c r="V45" s="339"/>
    </row>
    <row r="46" spans="1:22" ht="15" customHeight="1" hidden="1">
      <c r="A46" s="131"/>
      <c r="B46" s="789" t="s">
        <v>284</v>
      </c>
      <c r="C46" s="883">
        <v>300</v>
      </c>
      <c r="D46" s="2305">
        <v>250</v>
      </c>
      <c r="E46" s="772"/>
      <c r="F46" s="139"/>
      <c r="G46" s="446"/>
      <c r="H46" s="354"/>
      <c r="I46" s="249"/>
      <c r="J46" s="249"/>
      <c r="K46" s="249"/>
      <c r="L46" s="249"/>
      <c r="M46" s="249"/>
      <c r="N46" s="249"/>
      <c r="O46" s="249"/>
      <c r="P46" s="1553"/>
      <c r="Q46" s="2302"/>
      <c r="R46" s="2303"/>
      <c r="S46" s="2291"/>
      <c r="T46" s="249"/>
      <c r="U46" s="249"/>
      <c r="V46" s="304"/>
    </row>
    <row r="47" spans="1:22" ht="15" customHeight="1">
      <c r="A47" s="130" t="s">
        <v>500</v>
      </c>
      <c r="B47" s="901" t="s">
        <v>612</v>
      </c>
      <c r="C47" s="783">
        <f>SUM(C48:C52)</f>
        <v>0</v>
      </c>
      <c r="D47" s="458">
        <f>SUM(D48:D52)</f>
        <v>0</v>
      </c>
      <c r="E47" s="772">
        <f>SUM(E48:E50)</f>
        <v>5837895</v>
      </c>
      <c r="F47" s="139">
        <f aca="true" t="shared" si="22" ref="F47:P47">SUM(F48:F52)</f>
        <v>186884.98407</v>
      </c>
      <c r="G47" s="446">
        <f t="shared" si="22"/>
        <v>0</v>
      </c>
      <c r="H47" s="354">
        <f t="shared" si="22"/>
        <v>0</v>
      </c>
      <c r="I47" s="249">
        <f t="shared" si="22"/>
        <v>0</v>
      </c>
      <c r="J47" s="249">
        <f t="shared" si="22"/>
        <v>0</v>
      </c>
      <c r="K47" s="249">
        <f t="shared" si="22"/>
        <v>0</v>
      </c>
      <c r="L47" s="249">
        <f t="shared" si="22"/>
        <v>0</v>
      </c>
      <c r="M47" s="249">
        <f t="shared" si="22"/>
        <v>0</v>
      </c>
      <c r="N47" s="249">
        <f t="shared" si="22"/>
        <v>0</v>
      </c>
      <c r="O47" s="249">
        <f t="shared" si="22"/>
        <v>0</v>
      </c>
      <c r="P47" s="1553">
        <f t="shared" si="22"/>
        <v>0</v>
      </c>
      <c r="Q47" s="2302">
        <f>SUM(Q48:Q50)</f>
        <v>5782836</v>
      </c>
      <c r="R47" s="2303">
        <f>SUM(R48:R50)</f>
        <v>174213.343996</v>
      </c>
      <c r="S47" s="2291"/>
      <c r="T47" s="249"/>
      <c r="U47" s="249"/>
      <c r="V47" s="304"/>
    </row>
    <row r="48" spans="1:22" ht="15" customHeight="1">
      <c r="A48" s="116"/>
      <c r="B48" s="789" t="s">
        <v>343</v>
      </c>
      <c r="C48" s="883"/>
      <c r="D48" s="2305"/>
      <c r="E48" s="772">
        <v>5720697</v>
      </c>
      <c r="F48" s="139">
        <f>(E48*30.126)/1000</f>
        <v>172341.717822</v>
      </c>
      <c r="G48" s="446"/>
      <c r="H48" s="354"/>
      <c r="I48" s="249"/>
      <c r="J48" s="249"/>
      <c r="K48" s="249"/>
      <c r="L48" s="249"/>
      <c r="M48" s="249"/>
      <c r="N48" s="249"/>
      <c r="O48" s="249"/>
      <c r="P48" s="1553"/>
      <c r="Q48" s="2302">
        <v>5665638</v>
      </c>
      <c r="R48" s="2303">
        <f>Q48*30.126/1000</f>
        <v>170683.01038800002</v>
      </c>
      <c r="S48" s="2291"/>
      <c r="T48" s="249"/>
      <c r="U48" s="249"/>
      <c r="V48" s="304"/>
    </row>
    <row r="49" spans="1:22" ht="15" customHeight="1">
      <c r="A49" s="116"/>
      <c r="B49" s="789" t="s">
        <v>344</v>
      </c>
      <c r="C49" s="883"/>
      <c r="D49" s="2305"/>
      <c r="E49" s="772">
        <v>37090</v>
      </c>
      <c r="F49" s="139">
        <f aca="true" t="shared" si="23" ref="F49:F61">(E49*30.126)/1000</f>
        <v>1117.37334</v>
      </c>
      <c r="G49" s="446"/>
      <c r="H49" s="354"/>
      <c r="I49" s="249"/>
      <c r="J49" s="249"/>
      <c r="K49" s="249"/>
      <c r="L49" s="249"/>
      <c r="M49" s="249"/>
      <c r="N49" s="249"/>
      <c r="O49" s="249"/>
      <c r="P49" s="1553"/>
      <c r="Q49" s="2302">
        <v>37090</v>
      </c>
      <c r="R49" s="2303">
        <v>1117</v>
      </c>
      <c r="S49" s="2291"/>
      <c r="T49" s="249"/>
      <c r="U49" s="249"/>
      <c r="V49" s="304"/>
    </row>
    <row r="50" spans="1:22" ht="15" customHeight="1">
      <c r="A50" s="116"/>
      <c r="B50" s="789" t="s">
        <v>613</v>
      </c>
      <c r="C50" s="883"/>
      <c r="D50" s="2305"/>
      <c r="E50" s="772">
        <v>80108</v>
      </c>
      <c r="F50" s="139">
        <f>(E50*30.126)/1000</f>
        <v>2413.333608</v>
      </c>
      <c r="G50" s="446"/>
      <c r="H50" s="354"/>
      <c r="I50" s="249"/>
      <c r="J50" s="249"/>
      <c r="K50" s="249"/>
      <c r="L50" s="249"/>
      <c r="M50" s="249"/>
      <c r="N50" s="249"/>
      <c r="O50" s="249"/>
      <c r="P50" s="1553"/>
      <c r="Q50" s="2302">
        <v>80108</v>
      </c>
      <c r="R50" s="2303">
        <f>Q50*30.126/1000</f>
        <v>2413.333608</v>
      </c>
      <c r="S50" s="2291"/>
      <c r="T50" s="249"/>
      <c r="U50" s="249"/>
      <c r="V50" s="304"/>
    </row>
    <row r="51" spans="1:22" ht="15" customHeight="1">
      <c r="A51" s="130" t="s">
        <v>31</v>
      </c>
      <c r="B51" s="904" t="s">
        <v>32</v>
      </c>
      <c r="C51" s="883"/>
      <c r="D51" s="2305"/>
      <c r="E51" s="772">
        <v>123448</v>
      </c>
      <c r="F51" s="139">
        <f t="shared" si="23"/>
        <v>3718.9944480000004</v>
      </c>
      <c r="G51" s="446"/>
      <c r="H51" s="354"/>
      <c r="I51" s="249"/>
      <c r="J51" s="249"/>
      <c r="K51" s="249"/>
      <c r="L51" s="249"/>
      <c r="M51" s="249"/>
      <c r="N51" s="249"/>
      <c r="O51" s="249"/>
      <c r="P51" s="1553"/>
      <c r="Q51" s="2302">
        <v>127906</v>
      </c>
      <c r="R51" s="2303">
        <f>Q51*30.126/1000</f>
        <v>3853.296156</v>
      </c>
      <c r="S51" s="2291"/>
      <c r="T51" s="249"/>
      <c r="U51" s="249"/>
      <c r="V51" s="304"/>
    </row>
    <row r="52" spans="1:22" ht="15" customHeight="1">
      <c r="A52" s="130" t="s">
        <v>614</v>
      </c>
      <c r="B52" s="904" t="s">
        <v>338</v>
      </c>
      <c r="C52" s="883"/>
      <c r="D52" s="2305"/>
      <c r="E52" s="772">
        <v>242102</v>
      </c>
      <c r="F52" s="139">
        <f t="shared" si="23"/>
        <v>7293.5648519999995</v>
      </c>
      <c r="G52" s="446"/>
      <c r="H52" s="354"/>
      <c r="I52" s="249"/>
      <c r="J52" s="249"/>
      <c r="K52" s="249"/>
      <c r="L52" s="249"/>
      <c r="M52" s="249"/>
      <c r="N52" s="249"/>
      <c r="O52" s="249"/>
      <c r="P52" s="1553"/>
      <c r="Q52" s="2302">
        <v>257027</v>
      </c>
      <c r="R52" s="2303">
        <f>Q52*30.126/1000</f>
        <v>7743.195402</v>
      </c>
      <c r="S52" s="2291"/>
      <c r="T52" s="249"/>
      <c r="U52" s="249"/>
      <c r="V52" s="304"/>
    </row>
    <row r="53" spans="1:22" ht="15" customHeight="1">
      <c r="A53" s="130" t="s">
        <v>616</v>
      </c>
      <c r="B53" s="898" t="s">
        <v>615</v>
      </c>
      <c r="C53" s="783"/>
      <c r="D53" s="458"/>
      <c r="E53" s="772">
        <v>1928</v>
      </c>
      <c r="F53" s="139">
        <f t="shared" si="23"/>
        <v>58.082928</v>
      </c>
      <c r="G53" s="446"/>
      <c r="H53" s="354"/>
      <c r="I53" s="249"/>
      <c r="J53" s="249"/>
      <c r="K53" s="249"/>
      <c r="L53" s="249"/>
      <c r="M53" s="249"/>
      <c r="N53" s="249"/>
      <c r="O53" s="249"/>
      <c r="P53" s="1553"/>
      <c r="Q53" s="2302"/>
      <c r="R53" s="2303"/>
      <c r="S53" s="2291"/>
      <c r="T53" s="249"/>
      <c r="U53" s="249"/>
      <c r="V53" s="304"/>
    </row>
    <row r="54" spans="1:22" ht="15" customHeight="1">
      <c r="A54" s="130" t="s">
        <v>618</v>
      </c>
      <c r="B54" s="898" t="s">
        <v>617</v>
      </c>
      <c r="C54" s="783"/>
      <c r="D54" s="458"/>
      <c r="E54" s="772">
        <v>17</v>
      </c>
      <c r="F54" s="139">
        <f t="shared" si="23"/>
        <v>0.5121420000000001</v>
      </c>
      <c r="G54" s="446"/>
      <c r="H54" s="354"/>
      <c r="I54" s="249"/>
      <c r="J54" s="249"/>
      <c r="K54" s="249"/>
      <c r="L54" s="249"/>
      <c r="M54" s="249"/>
      <c r="N54" s="249"/>
      <c r="O54" s="249"/>
      <c r="P54" s="1553"/>
      <c r="Q54" s="2302"/>
      <c r="R54" s="2303"/>
      <c r="S54" s="2291"/>
      <c r="T54" s="249"/>
      <c r="U54" s="249"/>
      <c r="V54" s="304"/>
    </row>
    <row r="55" spans="1:22" ht="15" customHeight="1">
      <c r="A55" s="130" t="s">
        <v>620</v>
      </c>
      <c r="B55" s="898" t="s">
        <v>619</v>
      </c>
      <c r="C55" s="783"/>
      <c r="D55" s="458"/>
      <c r="E55" s="772">
        <v>3319</v>
      </c>
      <c r="F55" s="139">
        <f t="shared" si="23"/>
        <v>99.98819400000001</v>
      </c>
      <c r="G55" s="446"/>
      <c r="H55" s="354"/>
      <c r="I55" s="249"/>
      <c r="J55" s="249"/>
      <c r="K55" s="249"/>
      <c r="L55" s="249"/>
      <c r="M55" s="249"/>
      <c r="N55" s="249"/>
      <c r="O55" s="249"/>
      <c r="P55" s="1553"/>
      <c r="Q55" s="2302"/>
      <c r="R55" s="2303"/>
      <c r="S55" s="2291"/>
      <c r="T55" s="249"/>
      <c r="U55" s="249"/>
      <c r="V55" s="304"/>
    </row>
    <row r="56" spans="1:22" ht="15" customHeight="1">
      <c r="A56" s="130" t="s">
        <v>622</v>
      </c>
      <c r="B56" s="898" t="s">
        <v>621</v>
      </c>
      <c r="C56" s="783"/>
      <c r="D56" s="458"/>
      <c r="E56" s="772">
        <v>996</v>
      </c>
      <c r="F56" s="139">
        <f t="shared" si="23"/>
        <v>30.005496000000004</v>
      </c>
      <c r="G56" s="446"/>
      <c r="H56" s="354"/>
      <c r="I56" s="249"/>
      <c r="J56" s="249"/>
      <c r="K56" s="249"/>
      <c r="L56" s="249"/>
      <c r="M56" s="249"/>
      <c r="N56" s="249"/>
      <c r="O56" s="249"/>
      <c r="P56" s="1553"/>
      <c r="Q56" s="2302"/>
      <c r="R56" s="2303"/>
      <c r="S56" s="2291"/>
      <c r="T56" s="249"/>
      <c r="U56" s="249"/>
      <c r="V56" s="304"/>
    </row>
    <row r="57" spans="1:22" ht="15" customHeight="1">
      <c r="A57" s="130" t="s">
        <v>624</v>
      </c>
      <c r="B57" s="898" t="s">
        <v>623</v>
      </c>
      <c r="C57" s="783"/>
      <c r="D57" s="458"/>
      <c r="E57" s="772">
        <v>30725</v>
      </c>
      <c r="F57" s="139">
        <f t="shared" si="23"/>
        <v>925.6213500000001</v>
      </c>
      <c r="G57" s="446"/>
      <c r="H57" s="354"/>
      <c r="I57" s="249"/>
      <c r="J57" s="249"/>
      <c r="K57" s="249"/>
      <c r="L57" s="249"/>
      <c r="M57" s="249"/>
      <c r="N57" s="249"/>
      <c r="O57" s="249"/>
      <c r="P57" s="1553"/>
      <c r="Q57" s="2302"/>
      <c r="R57" s="2303"/>
      <c r="S57" s="2291"/>
      <c r="T57" s="249"/>
      <c r="U57" s="249"/>
      <c r="V57" s="304"/>
    </row>
    <row r="58" spans="1:22" ht="15" customHeight="1">
      <c r="A58" s="130" t="s">
        <v>626</v>
      </c>
      <c r="B58" s="898" t="s">
        <v>625</v>
      </c>
      <c r="C58" s="783">
        <f>2992+18+215</f>
        <v>3225</v>
      </c>
      <c r="D58" s="458">
        <v>3428</v>
      </c>
      <c r="E58" s="772">
        <v>126219</v>
      </c>
      <c r="F58" s="139">
        <f t="shared" si="23"/>
        <v>3802.473594</v>
      </c>
      <c r="G58" s="446"/>
      <c r="H58" s="354"/>
      <c r="I58" s="249"/>
      <c r="J58" s="249"/>
      <c r="K58" s="249"/>
      <c r="L58" s="249"/>
      <c r="M58" s="249"/>
      <c r="N58" s="249"/>
      <c r="O58" s="249"/>
      <c r="P58" s="1553"/>
      <c r="Q58" s="2302"/>
      <c r="R58" s="2303"/>
      <c r="S58" s="2291"/>
      <c r="T58" s="249"/>
      <c r="U58" s="249"/>
      <c r="V58" s="304"/>
    </row>
    <row r="59" spans="1:22" ht="15" customHeight="1" hidden="1">
      <c r="A59" s="130" t="s">
        <v>624</v>
      </c>
      <c r="B59" s="898" t="s">
        <v>982</v>
      </c>
      <c r="C59" s="783"/>
      <c r="D59" s="458"/>
      <c r="E59" s="772"/>
      <c r="F59" s="139"/>
      <c r="G59" s="446"/>
      <c r="H59" s="354"/>
      <c r="I59" s="249"/>
      <c r="J59" s="249"/>
      <c r="K59" s="249"/>
      <c r="L59" s="249"/>
      <c r="M59" s="249"/>
      <c r="N59" s="249"/>
      <c r="O59" s="249"/>
      <c r="P59" s="1553"/>
      <c r="Q59" s="2302"/>
      <c r="R59" s="2303"/>
      <c r="S59" s="2291"/>
      <c r="T59" s="249"/>
      <c r="U59" s="249"/>
      <c r="V59" s="304"/>
    </row>
    <row r="60" spans="1:22" ht="15" customHeight="1" hidden="1">
      <c r="A60" s="130" t="s">
        <v>626</v>
      </c>
      <c r="B60" s="898" t="s">
        <v>630</v>
      </c>
      <c r="C60" s="783"/>
      <c r="D60" s="458"/>
      <c r="E60" s="772"/>
      <c r="F60" s="139"/>
      <c r="G60" s="446"/>
      <c r="H60" s="354"/>
      <c r="I60" s="249"/>
      <c r="J60" s="249"/>
      <c r="K60" s="249"/>
      <c r="L60" s="249"/>
      <c r="M60" s="249"/>
      <c r="N60" s="249"/>
      <c r="O60" s="249"/>
      <c r="P60" s="1553"/>
      <c r="Q60" s="2302"/>
      <c r="R60" s="2303"/>
      <c r="S60" s="2291"/>
      <c r="T60" s="249"/>
      <c r="U60" s="249"/>
      <c r="V60" s="304"/>
    </row>
    <row r="61" spans="1:22" ht="15" customHeight="1">
      <c r="A61" s="130" t="s">
        <v>33</v>
      </c>
      <c r="B61" s="898" t="s">
        <v>627</v>
      </c>
      <c r="C61" s="783"/>
      <c r="D61" s="458"/>
      <c r="E61" s="772">
        <v>241</v>
      </c>
      <c r="F61" s="139">
        <f t="shared" si="23"/>
        <v>7.260366</v>
      </c>
      <c r="G61" s="446"/>
      <c r="H61" s="354"/>
      <c r="I61" s="249"/>
      <c r="J61" s="249"/>
      <c r="K61" s="249"/>
      <c r="L61" s="249"/>
      <c r="M61" s="249"/>
      <c r="N61" s="249"/>
      <c r="O61" s="249"/>
      <c r="P61" s="1553"/>
      <c r="Q61" s="2302"/>
      <c r="R61" s="2303"/>
      <c r="S61" s="2291"/>
      <c r="T61" s="249"/>
      <c r="U61" s="249"/>
      <c r="V61" s="304"/>
    </row>
    <row r="62" spans="1:22" ht="15" customHeight="1" hidden="1">
      <c r="A62" s="130"/>
      <c r="B62" s="898" t="s">
        <v>636</v>
      </c>
      <c r="C62" s="783">
        <v>358</v>
      </c>
      <c r="D62" s="458"/>
      <c r="E62" s="772"/>
      <c r="F62" s="139"/>
      <c r="G62" s="446"/>
      <c r="H62" s="354"/>
      <c r="I62" s="249"/>
      <c r="J62" s="249"/>
      <c r="K62" s="249"/>
      <c r="L62" s="249"/>
      <c r="M62" s="249"/>
      <c r="N62" s="249"/>
      <c r="O62" s="249"/>
      <c r="P62" s="1553"/>
      <c r="Q62" s="2302"/>
      <c r="R62" s="2303"/>
      <c r="S62" s="2291"/>
      <c r="T62" s="249"/>
      <c r="U62" s="249"/>
      <c r="V62" s="304"/>
    </row>
    <row r="63" spans="1:22" ht="15" customHeight="1" hidden="1">
      <c r="A63" s="130"/>
      <c r="B63" s="898" t="s">
        <v>632</v>
      </c>
      <c r="C63" s="783">
        <v>249</v>
      </c>
      <c r="D63" s="458"/>
      <c r="E63" s="772"/>
      <c r="F63" s="139"/>
      <c r="G63" s="446"/>
      <c r="H63" s="354"/>
      <c r="I63" s="249"/>
      <c r="J63" s="249"/>
      <c r="K63" s="249"/>
      <c r="L63" s="249"/>
      <c r="M63" s="249"/>
      <c r="N63" s="249"/>
      <c r="O63" s="249"/>
      <c r="P63" s="1553"/>
      <c r="Q63" s="2302"/>
      <c r="R63" s="2303"/>
      <c r="S63" s="2291"/>
      <c r="T63" s="249"/>
      <c r="U63" s="249"/>
      <c r="V63" s="304"/>
    </row>
    <row r="64" spans="1:22" ht="15" customHeight="1" hidden="1">
      <c r="A64" s="116"/>
      <c r="B64" s="1506" t="s">
        <v>229</v>
      </c>
      <c r="C64" s="884"/>
      <c r="D64" s="2568"/>
      <c r="E64" s="2589"/>
      <c r="F64" s="1802"/>
      <c r="G64" s="445"/>
      <c r="H64" s="355"/>
      <c r="I64" s="341"/>
      <c r="J64" s="341"/>
      <c r="K64" s="341"/>
      <c r="L64" s="341"/>
      <c r="M64" s="341"/>
      <c r="N64" s="341"/>
      <c r="O64" s="341"/>
      <c r="P64" s="2287"/>
      <c r="Q64" s="2300"/>
      <c r="R64" s="2301"/>
      <c r="S64" s="2290"/>
      <c r="T64" s="341"/>
      <c r="U64" s="341"/>
      <c r="V64" s="343"/>
    </row>
    <row r="65" spans="1:22" s="24" customFormat="1" ht="19.5" customHeight="1">
      <c r="A65" s="112" t="s">
        <v>992</v>
      </c>
      <c r="B65" s="787" t="s">
        <v>967</v>
      </c>
      <c r="C65" s="780">
        <f>C66+C145+C146+C147+C176+C177+C178+C179+C180+C181+C182+C183</f>
        <v>26135</v>
      </c>
      <c r="D65" s="456">
        <f>D66+D145+D146+D147+D176+D177+D178+D179+D180+D181+D182+D183</f>
        <v>46782</v>
      </c>
      <c r="E65" s="770">
        <f>E66+E145+E146+E147+E175+E176+E177+E178+E180</f>
        <v>1081826</v>
      </c>
      <c r="F65" s="480">
        <f>F66+F145+F146+F147+F175+F176+F177+F178+F180</f>
        <v>32590.760408</v>
      </c>
      <c r="G65" s="464">
        <f aca="true" t="shared" si="24" ref="G65:R65">G66+G145+G146+G147+G176+G177+G178+G179+G180+G181+G182+G183</f>
        <v>866000</v>
      </c>
      <c r="H65" s="245">
        <f t="shared" si="24"/>
        <v>26089.116</v>
      </c>
      <c r="I65" s="246">
        <f t="shared" si="24"/>
        <v>836000</v>
      </c>
      <c r="J65" s="246">
        <f t="shared" si="24"/>
        <v>25185.336000000003</v>
      </c>
      <c r="K65" s="246">
        <f t="shared" si="24"/>
        <v>377000</v>
      </c>
      <c r="L65" s="246">
        <f t="shared" si="24"/>
        <v>11357.502</v>
      </c>
      <c r="M65" s="246">
        <f t="shared" si="24"/>
        <v>437000</v>
      </c>
      <c r="N65" s="246">
        <f t="shared" si="24"/>
        <v>13165.062000000002</v>
      </c>
      <c r="O65" s="246">
        <f t="shared" si="24"/>
        <v>836000</v>
      </c>
      <c r="P65" s="1550">
        <f t="shared" si="24"/>
        <v>25185.336000000003</v>
      </c>
      <c r="Q65" s="2400">
        <f t="shared" si="24"/>
        <v>836000</v>
      </c>
      <c r="R65" s="972">
        <f t="shared" si="24"/>
        <v>25185.336000000003</v>
      </c>
      <c r="S65" s="2383">
        <v>836000</v>
      </c>
      <c r="T65" s="246">
        <f>S65*30.126/1000</f>
        <v>25185.336</v>
      </c>
      <c r="U65" s="246">
        <v>836000</v>
      </c>
      <c r="V65" s="255">
        <f>U65*30.126/1000</f>
        <v>25185.336</v>
      </c>
    </row>
    <row r="66" spans="1:22" ht="15" customHeight="1">
      <c r="A66" s="132" t="s">
        <v>503</v>
      </c>
      <c r="B66" s="902" t="s">
        <v>921</v>
      </c>
      <c r="C66" s="885">
        <f>C67+C73+C74+C83+C91+C95+C104+C109+C118+C123+C124+C125+C135+C144</f>
        <v>23271</v>
      </c>
      <c r="D66" s="1682">
        <f>D67+D73+D74+D83+D91+D95+D104+D109+D118+D123+D124+D125+D135+D144</f>
        <v>29300</v>
      </c>
      <c r="E66" s="2370">
        <f>E67+E73+E74+E83+E91+E95+E104+E109+E118+E123+E125+E135</f>
        <v>706691</v>
      </c>
      <c r="F66" s="2480">
        <f>F67+F73+F74+F83+F91+F95+F104+F109+F118+F123+F125+F135+F144</f>
        <v>21289.443398</v>
      </c>
      <c r="G66" s="610">
        <f>G67+G73+G74+G83+G91+G95+G104+G109+G118+G123+G125+G135+G144</f>
        <v>512000</v>
      </c>
      <c r="H66" s="625">
        <f aca="true" t="shared" si="25" ref="H66:N66">H67+H73+H74+H83+H91+H95+H104+H109+H118+H123+H125+H135+H144</f>
        <v>15424.512</v>
      </c>
      <c r="I66" s="247">
        <f t="shared" si="25"/>
        <v>482000</v>
      </c>
      <c r="J66" s="247">
        <f t="shared" si="25"/>
        <v>14520.732</v>
      </c>
      <c r="K66" s="247">
        <f t="shared" si="25"/>
        <v>14000</v>
      </c>
      <c r="L66" s="247">
        <f t="shared" si="25"/>
        <v>421.764</v>
      </c>
      <c r="M66" s="247">
        <f t="shared" si="25"/>
        <v>10000</v>
      </c>
      <c r="N66" s="247">
        <f t="shared" si="25"/>
        <v>301.26</v>
      </c>
      <c r="O66" s="247">
        <f>O67+O73+O74+O83+O91+O95+O104+O109+O118+O123+O125+O135+O144</f>
        <v>482000</v>
      </c>
      <c r="P66" s="1790">
        <f>P67+P73+P74+P83+P91+P95+P104+P109+P118+P123+P125+P135+P144</f>
        <v>14520.732</v>
      </c>
      <c r="Q66" s="2398">
        <f>Q67+Q73+Q74+Q83+Q91+Q95+Q104+Q109+Q118+Q123+Q125+Q135+Q144</f>
        <v>482000</v>
      </c>
      <c r="R66" s="2399">
        <f>R67+R73+R74+R83+R91+R95+R104+R109+R118+R123+R125+R135+R144</f>
        <v>14520.732</v>
      </c>
      <c r="S66" s="2382"/>
      <c r="T66" s="247"/>
      <c r="U66" s="247"/>
      <c r="V66" s="331"/>
    </row>
    <row r="67" spans="1:22" ht="15" customHeight="1">
      <c r="A67" s="116"/>
      <c r="B67" s="789" t="s">
        <v>285</v>
      </c>
      <c r="C67" s="783">
        <f>SUM(C68:C72)</f>
        <v>3508</v>
      </c>
      <c r="D67" s="458">
        <f>SUM(D68:D72)</f>
        <v>4905</v>
      </c>
      <c r="E67" s="772">
        <f>SUM(E68:E72)</f>
        <v>0</v>
      </c>
      <c r="F67" s="139">
        <f>SUM(F68:F72)</f>
        <v>0</v>
      </c>
      <c r="G67" s="446">
        <f aca="true" t="shared" si="26" ref="G67:N67">SUM(G68:G72)</f>
        <v>6000</v>
      </c>
      <c r="H67" s="354">
        <f t="shared" si="26"/>
        <v>180.756</v>
      </c>
      <c r="I67" s="249">
        <f t="shared" si="26"/>
        <v>6000</v>
      </c>
      <c r="J67" s="249">
        <f t="shared" si="26"/>
        <v>180.756</v>
      </c>
      <c r="K67" s="249">
        <f t="shared" si="26"/>
        <v>0</v>
      </c>
      <c r="L67" s="249">
        <f t="shared" si="26"/>
        <v>0</v>
      </c>
      <c r="M67" s="249">
        <f t="shared" si="26"/>
        <v>0</v>
      </c>
      <c r="N67" s="249">
        <f t="shared" si="26"/>
        <v>0</v>
      </c>
      <c r="O67" s="249">
        <f>SUM(O68:O72)</f>
        <v>6000</v>
      </c>
      <c r="P67" s="1553">
        <f>SUM(P68:P72)</f>
        <v>180.756</v>
      </c>
      <c r="Q67" s="2302">
        <f>SUM(Q68:Q72)</f>
        <v>6000</v>
      </c>
      <c r="R67" s="2303">
        <f>SUM(R68:R72)</f>
        <v>180.756</v>
      </c>
      <c r="S67" s="2291"/>
      <c r="T67" s="249"/>
      <c r="U67" s="249"/>
      <c r="V67" s="304"/>
    </row>
    <row r="68" spans="1:22" ht="15" customHeight="1" hidden="1">
      <c r="A68" s="116"/>
      <c r="B68" s="791" t="s">
        <v>286</v>
      </c>
      <c r="C68" s="883"/>
      <c r="D68" s="2305">
        <v>2372</v>
      </c>
      <c r="E68" s="772"/>
      <c r="F68" s="139"/>
      <c r="G68" s="446"/>
      <c r="H68" s="354"/>
      <c r="I68" s="249"/>
      <c r="J68" s="249"/>
      <c r="K68" s="249"/>
      <c r="L68" s="249"/>
      <c r="M68" s="249"/>
      <c r="N68" s="249"/>
      <c r="O68" s="249"/>
      <c r="P68" s="1553"/>
      <c r="Q68" s="2302"/>
      <c r="R68" s="2303"/>
      <c r="S68" s="2291"/>
      <c r="T68" s="249"/>
      <c r="U68" s="249"/>
      <c r="V68" s="304"/>
    </row>
    <row r="69" spans="1:22" ht="15" customHeight="1" hidden="1">
      <c r="A69" s="116"/>
      <c r="B69" s="791" t="s">
        <v>648</v>
      </c>
      <c r="C69" s="883">
        <v>3508</v>
      </c>
      <c r="D69" s="2305"/>
      <c r="E69" s="772"/>
      <c r="F69" s="139"/>
      <c r="G69" s="446"/>
      <c r="H69" s="354"/>
      <c r="I69" s="249"/>
      <c r="J69" s="249"/>
      <c r="K69" s="249"/>
      <c r="L69" s="249"/>
      <c r="M69" s="249"/>
      <c r="N69" s="249"/>
      <c r="O69" s="249"/>
      <c r="P69" s="1553"/>
      <c r="Q69" s="2302"/>
      <c r="R69" s="2303"/>
      <c r="S69" s="2291"/>
      <c r="T69" s="249"/>
      <c r="U69" s="249"/>
      <c r="V69" s="304"/>
    </row>
    <row r="70" spans="1:22" ht="15" customHeight="1" hidden="1">
      <c r="A70" s="116"/>
      <c r="B70" s="791" t="s">
        <v>652</v>
      </c>
      <c r="C70" s="883"/>
      <c r="D70" s="2305"/>
      <c r="E70" s="772"/>
      <c r="F70" s="139"/>
      <c r="G70" s="446"/>
      <c r="H70" s="354"/>
      <c r="I70" s="249"/>
      <c r="J70" s="249"/>
      <c r="K70" s="249"/>
      <c r="L70" s="249"/>
      <c r="M70" s="249"/>
      <c r="N70" s="249"/>
      <c r="O70" s="249"/>
      <c r="P70" s="1553"/>
      <c r="Q70" s="2302"/>
      <c r="R70" s="2303"/>
      <c r="S70" s="2291"/>
      <c r="T70" s="249"/>
      <c r="U70" s="249"/>
      <c r="V70" s="304"/>
    </row>
    <row r="71" spans="1:22" ht="25.5">
      <c r="A71" s="116"/>
      <c r="B71" s="1757" t="s">
        <v>58</v>
      </c>
      <c r="C71" s="883"/>
      <c r="D71" s="2305"/>
      <c r="E71" s="772"/>
      <c r="F71" s="139"/>
      <c r="G71" s="446">
        <v>6000</v>
      </c>
      <c r="H71" s="354">
        <f>G71*30.126/1000</f>
        <v>180.756</v>
      </c>
      <c r="I71" s="249">
        <v>6000</v>
      </c>
      <c r="J71" s="249">
        <f>I71*30.126/1000</f>
        <v>180.756</v>
      </c>
      <c r="K71" s="249"/>
      <c r="L71" s="249"/>
      <c r="M71" s="249"/>
      <c r="N71" s="249"/>
      <c r="O71" s="249">
        <v>6000</v>
      </c>
      <c r="P71" s="1553">
        <f>O71*30.126/1000</f>
        <v>180.756</v>
      </c>
      <c r="Q71" s="2302">
        <v>6000</v>
      </c>
      <c r="R71" s="2303">
        <f>Q71*30.126/1000</f>
        <v>180.756</v>
      </c>
      <c r="S71" s="2291"/>
      <c r="T71" s="249"/>
      <c r="U71" s="249"/>
      <c r="V71" s="304"/>
    </row>
    <row r="72" spans="1:22" ht="15" customHeight="1" hidden="1">
      <c r="A72" s="116"/>
      <c r="B72" s="791" t="s">
        <v>287</v>
      </c>
      <c r="C72" s="883"/>
      <c r="D72" s="2305">
        <v>2533</v>
      </c>
      <c r="E72" s="772"/>
      <c r="F72" s="139"/>
      <c r="G72" s="446"/>
      <c r="H72" s="354"/>
      <c r="I72" s="249"/>
      <c r="J72" s="249"/>
      <c r="K72" s="249"/>
      <c r="L72" s="249"/>
      <c r="M72" s="249"/>
      <c r="N72" s="249"/>
      <c r="O72" s="249"/>
      <c r="P72" s="1553"/>
      <c r="Q72" s="2302"/>
      <c r="R72" s="2303"/>
      <c r="S72" s="2291"/>
      <c r="T72" s="249"/>
      <c r="U72" s="249"/>
      <c r="V72" s="304"/>
    </row>
    <row r="73" spans="1:22" ht="15" customHeight="1">
      <c r="A73" s="116"/>
      <c r="B73" s="789" t="s">
        <v>288</v>
      </c>
      <c r="C73" s="883"/>
      <c r="D73" s="2305"/>
      <c r="E73" s="772">
        <v>148200</v>
      </c>
      <c r="F73" s="139">
        <f>(E73*30.126)/1000</f>
        <v>4464.6732</v>
      </c>
      <c r="G73" s="446"/>
      <c r="H73" s="354"/>
      <c r="I73" s="249"/>
      <c r="J73" s="249"/>
      <c r="K73" s="249"/>
      <c r="L73" s="249"/>
      <c r="M73" s="249"/>
      <c r="N73" s="249"/>
      <c r="O73" s="249"/>
      <c r="P73" s="1553"/>
      <c r="Q73" s="2302"/>
      <c r="R73" s="2303"/>
      <c r="S73" s="2291"/>
      <c r="T73" s="249"/>
      <c r="U73" s="249"/>
      <c r="V73" s="304"/>
    </row>
    <row r="74" spans="1:22" ht="15" customHeight="1">
      <c r="A74" s="116"/>
      <c r="B74" s="789" t="s">
        <v>289</v>
      </c>
      <c r="C74" s="783">
        <f>SUM(C75:C82)</f>
        <v>0</v>
      </c>
      <c r="D74" s="458">
        <f>SUM(D75:D82)</f>
        <v>1457</v>
      </c>
      <c r="E74" s="772">
        <f>SUM(E75:E82)</f>
        <v>65647</v>
      </c>
      <c r="F74" s="139">
        <f>SUM(F75:F82)</f>
        <v>1977.681522</v>
      </c>
      <c r="G74" s="446">
        <f aca="true" t="shared" si="27" ref="G74:N74">SUM(G75:G82)</f>
        <v>96000</v>
      </c>
      <c r="H74" s="354">
        <f t="shared" si="27"/>
        <v>2892.096</v>
      </c>
      <c r="I74" s="249">
        <f t="shared" si="27"/>
        <v>96000</v>
      </c>
      <c r="J74" s="249">
        <f t="shared" si="27"/>
        <v>2892.096</v>
      </c>
      <c r="K74" s="249">
        <f t="shared" si="27"/>
        <v>0</v>
      </c>
      <c r="L74" s="249">
        <f t="shared" si="27"/>
        <v>0</v>
      </c>
      <c r="M74" s="249">
        <f t="shared" si="27"/>
        <v>0</v>
      </c>
      <c r="N74" s="249">
        <f t="shared" si="27"/>
        <v>0</v>
      </c>
      <c r="O74" s="249">
        <f>SUM(O75:O82)</f>
        <v>96000</v>
      </c>
      <c r="P74" s="1553">
        <f>SUM(P75:P82)</f>
        <v>2892.096</v>
      </c>
      <c r="Q74" s="2302">
        <f>SUM(Q75:Q82)</f>
        <v>96000</v>
      </c>
      <c r="R74" s="2303">
        <f>SUM(R75:R82)</f>
        <v>2892.096</v>
      </c>
      <c r="S74" s="2291"/>
      <c r="T74" s="249"/>
      <c r="U74" s="249"/>
      <c r="V74" s="304"/>
    </row>
    <row r="75" spans="1:22" ht="15" customHeight="1" hidden="1">
      <c r="A75" s="116"/>
      <c r="B75" s="791" t="s">
        <v>290</v>
      </c>
      <c r="C75" s="883"/>
      <c r="D75" s="2305">
        <v>11</v>
      </c>
      <c r="E75" s="772"/>
      <c r="F75" s="139"/>
      <c r="G75" s="446"/>
      <c r="H75" s="354"/>
      <c r="I75" s="249"/>
      <c r="J75" s="249"/>
      <c r="K75" s="249"/>
      <c r="L75" s="249"/>
      <c r="M75" s="249"/>
      <c r="N75" s="249"/>
      <c r="O75" s="249"/>
      <c r="P75" s="1553"/>
      <c r="Q75" s="2302"/>
      <c r="R75" s="2303"/>
      <c r="S75" s="2291"/>
      <c r="T75" s="249"/>
      <c r="U75" s="249"/>
      <c r="V75" s="304"/>
    </row>
    <row r="76" spans="1:22" ht="15" customHeight="1" hidden="1">
      <c r="A76" s="116"/>
      <c r="B76" s="791" t="s">
        <v>291</v>
      </c>
      <c r="C76" s="883"/>
      <c r="D76" s="2305">
        <v>487</v>
      </c>
      <c r="E76" s="772"/>
      <c r="F76" s="139"/>
      <c r="G76" s="446"/>
      <c r="H76" s="354"/>
      <c r="I76" s="249"/>
      <c r="J76" s="249"/>
      <c r="K76" s="249"/>
      <c r="L76" s="249"/>
      <c r="M76" s="249"/>
      <c r="N76" s="249"/>
      <c r="O76" s="249"/>
      <c r="P76" s="1553"/>
      <c r="Q76" s="2302"/>
      <c r="R76" s="2303"/>
      <c r="S76" s="2291"/>
      <c r="T76" s="249"/>
      <c r="U76" s="249"/>
      <c r="V76" s="304"/>
    </row>
    <row r="77" spans="1:22" ht="15" customHeight="1">
      <c r="A77" s="116"/>
      <c r="B77" s="791" t="s">
        <v>292</v>
      </c>
      <c r="C77" s="883"/>
      <c r="D77" s="2305"/>
      <c r="E77" s="772">
        <v>65647</v>
      </c>
      <c r="F77" s="139">
        <f>(E77*30.126)/1000</f>
        <v>1977.681522</v>
      </c>
      <c r="G77" s="446"/>
      <c r="H77" s="354"/>
      <c r="I77" s="249"/>
      <c r="J77" s="249"/>
      <c r="K77" s="249"/>
      <c r="L77" s="249"/>
      <c r="M77" s="249"/>
      <c r="N77" s="249"/>
      <c r="O77" s="249"/>
      <c r="P77" s="1553"/>
      <c r="Q77" s="2302"/>
      <c r="R77" s="2303"/>
      <c r="S77" s="2291"/>
      <c r="T77" s="249"/>
      <c r="U77" s="249"/>
      <c r="V77" s="304"/>
    </row>
    <row r="78" spans="1:22" ht="15" customHeight="1" hidden="1">
      <c r="A78" s="116"/>
      <c r="B78" s="791" t="s">
        <v>654</v>
      </c>
      <c r="C78" s="883"/>
      <c r="D78" s="2305"/>
      <c r="E78" s="772"/>
      <c r="F78" s="139"/>
      <c r="G78" s="446"/>
      <c r="H78" s="354"/>
      <c r="I78" s="249"/>
      <c r="J78" s="249"/>
      <c r="K78" s="249"/>
      <c r="L78" s="249"/>
      <c r="M78" s="249"/>
      <c r="N78" s="249"/>
      <c r="O78" s="249"/>
      <c r="P78" s="1553"/>
      <c r="Q78" s="2302"/>
      <c r="R78" s="2303"/>
      <c r="S78" s="2291"/>
      <c r="T78" s="249"/>
      <c r="U78" s="249"/>
      <c r="V78" s="304"/>
    </row>
    <row r="79" spans="1:22" ht="15" customHeight="1" hidden="1">
      <c r="A79" s="116"/>
      <c r="B79" s="791" t="s">
        <v>655</v>
      </c>
      <c r="C79" s="883"/>
      <c r="D79" s="2305"/>
      <c r="E79" s="772"/>
      <c r="F79" s="139"/>
      <c r="G79" s="446"/>
      <c r="H79" s="354"/>
      <c r="I79" s="249"/>
      <c r="J79" s="249"/>
      <c r="K79" s="249"/>
      <c r="L79" s="249"/>
      <c r="M79" s="249"/>
      <c r="N79" s="249"/>
      <c r="O79" s="249"/>
      <c r="P79" s="1553"/>
      <c r="Q79" s="2302"/>
      <c r="R79" s="2303"/>
      <c r="S79" s="2291"/>
      <c r="T79" s="249"/>
      <c r="U79" s="249"/>
      <c r="V79" s="304"/>
    </row>
    <row r="80" spans="1:22" ht="25.5">
      <c r="A80" s="116"/>
      <c r="B80" s="1757" t="s">
        <v>59</v>
      </c>
      <c r="C80" s="883"/>
      <c r="D80" s="2305"/>
      <c r="E80" s="772"/>
      <c r="F80" s="139"/>
      <c r="G80" s="446">
        <v>66000</v>
      </c>
      <c r="H80" s="354">
        <f>G80*30.126/1000</f>
        <v>1988.316</v>
      </c>
      <c r="I80" s="249">
        <v>66000</v>
      </c>
      <c r="J80" s="249">
        <f>I80*30.126/1000</f>
        <v>1988.316</v>
      </c>
      <c r="K80" s="249"/>
      <c r="L80" s="249"/>
      <c r="M80" s="249"/>
      <c r="N80" s="249"/>
      <c r="O80" s="249">
        <v>66000</v>
      </c>
      <c r="P80" s="1553">
        <f>O80*30.126/1000</f>
        <v>1988.316</v>
      </c>
      <c r="Q80" s="2302">
        <v>66000</v>
      </c>
      <c r="R80" s="2303">
        <f>Q80*30.126/1000</f>
        <v>1988.316</v>
      </c>
      <c r="S80" s="2291"/>
      <c r="T80" s="249"/>
      <c r="U80" s="249"/>
      <c r="V80" s="304"/>
    </row>
    <row r="81" spans="1:22" ht="15" customHeight="1">
      <c r="A81" s="116"/>
      <c r="B81" s="791" t="s">
        <v>60</v>
      </c>
      <c r="C81" s="883"/>
      <c r="D81" s="2305"/>
      <c r="E81" s="772"/>
      <c r="F81" s="139"/>
      <c r="G81" s="446">
        <v>30000</v>
      </c>
      <c r="H81" s="354">
        <f>G81*30.126/1000</f>
        <v>903.78</v>
      </c>
      <c r="I81" s="249">
        <v>30000</v>
      </c>
      <c r="J81" s="249">
        <f>I81*30.126/1000</f>
        <v>903.78</v>
      </c>
      <c r="K81" s="249"/>
      <c r="L81" s="249"/>
      <c r="M81" s="249"/>
      <c r="N81" s="249"/>
      <c r="O81" s="249">
        <v>30000</v>
      </c>
      <c r="P81" s="1553">
        <f>O81*30.126/1000</f>
        <v>903.78</v>
      </c>
      <c r="Q81" s="2302">
        <v>30000</v>
      </c>
      <c r="R81" s="2303">
        <f>Q81*30.126/1000</f>
        <v>903.78</v>
      </c>
      <c r="S81" s="2291"/>
      <c r="T81" s="249"/>
      <c r="U81" s="249"/>
      <c r="V81" s="304"/>
    </row>
    <row r="82" spans="1:22" ht="15" customHeight="1" hidden="1">
      <c r="A82" s="116"/>
      <c r="B82" s="791" t="s">
        <v>293</v>
      </c>
      <c r="C82" s="883"/>
      <c r="D82" s="2305">
        <v>959</v>
      </c>
      <c r="E82" s="772"/>
      <c r="F82" s="139"/>
      <c r="G82" s="446"/>
      <c r="H82" s="354"/>
      <c r="I82" s="249"/>
      <c r="J82" s="249"/>
      <c r="K82" s="249"/>
      <c r="L82" s="249"/>
      <c r="M82" s="249"/>
      <c r="N82" s="249"/>
      <c r="O82" s="249"/>
      <c r="P82" s="1553"/>
      <c r="Q82" s="2302"/>
      <c r="R82" s="2303"/>
      <c r="S82" s="2291"/>
      <c r="T82" s="249"/>
      <c r="U82" s="249"/>
      <c r="V82" s="304"/>
    </row>
    <row r="83" spans="1:22" ht="15" customHeight="1">
      <c r="A83" s="116"/>
      <c r="B83" s="789" t="s">
        <v>643</v>
      </c>
      <c r="C83" s="883">
        <f>SUM(C84:C90)</f>
        <v>4501</v>
      </c>
      <c r="D83" s="2305">
        <f>SUM(D84:D90)</f>
        <v>2644</v>
      </c>
      <c r="E83" s="2590"/>
      <c r="F83" s="2591"/>
      <c r="G83" s="617">
        <f aca="true" t="shared" si="28" ref="G83:N83">SUM(G84:G90)</f>
        <v>5000</v>
      </c>
      <c r="H83" s="644">
        <f t="shared" si="28"/>
        <v>150.63</v>
      </c>
      <c r="I83" s="645">
        <f t="shared" si="28"/>
        <v>5000</v>
      </c>
      <c r="J83" s="645">
        <f t="shared" si="28"/>
        <v>150.63</v>
      </c>
      <c r="K83" s="645">
        <f t="shared" si="28"/>
        <v>0</v>
      </c>
      <c r="L83" s="645">
        <f t="shared" si="28"/>
        <v>0</v>
      </c>
      <c r="M83" s="645">
        <f t="shared" si="28"/>
        <v>0</v>
      </c>
      <c r="N83" s="645">
        <f t="shared" si="28"/>
        <v>0</v>
      </c>
      <c r="O83" s="645">
        <f>SUM(O84:O90)</f>
        <v>5000</v>
      </c>
      <c r="P83" s="1636">
        <f>SUM(P84:P90)</f>
        <v>150.63</v>
      </c>
      <c r="Q83" s="2624">
        <f>SUM(Q84:Q90)</f>
        <v>5000</v>
      </c>
      <c r="R83" s="2625">
        <f>SUM(R84:R90)</f>
        <v>150.63</v>
      </c>
      <c r="S83" s="848"/>
      <c r="T83" s="645"/>
      <c r="U83" s="645"/>
      <c r="V83" s="646"/>
    </row>
    <row r="84" spans="1:22" ht="15" customHeight="1" hidden="1">
      <c r="A84" s="116"/>
      <c r="B84" s="791" t="s">
        <v>645</v>
      </c>
      <c r="C84" s="883">
        <v>2303</v>
      </c>
      <c r="D84" s="2305"/>
      <c r="E84" s="2585"/>
      <c r="F84" s="2586"/>
      <c r="G84" s="444"/>
      <c r="H84" s="655"/>
      <c r="I84" s="333"/>
      <c r="J84" s="333"/>
      <c r="K84" s="333"/>
      <c r="L84" s="333"/>
      <c r="M84" s="333"/>
      <c r="N84" s="333"/>
      <c r="O84" s="333"/>
      <c r="P84" s="2595"/>
      <c r="Q84" s="2618"/>
      <c r="R84" s="2619"/>
      <c r="S84" s="2605"/>
      <c r="T84" s="333"/>
      <c r="U84" s="333"/>
      <c r="V84" s="332"/>
    </row>
    <row r="85" spans="1:22" ht="15" customHeight="1" hidden="1">
      <c r="A85" s="116"/>
      <c r="B85" s="791" t="s">
        <v>586</v>
      </c>
      <c r="C85" s="883"/>
      <c r="D85" s="2305"/>
      <c r="E85" s="2585"/>
      <c r="F85" s="2586"/>
      <c r="G85" s="444"/>
      <c r="H85" s="655"/>
      <c r="I85" s="333"/>
      <c r="J85" s="333"/>
      <c r="K85" s="333"/>
      <c r="L85" s="333"/>
      <c r="M85" s="333"/>
      <c r="N85" s="333"/>
      <c r="O85" s="333"/>
      <c r="P85" s="2595"/>
      <c r="Q85" s="2618"/>
      <c r="R85" s="2619"/>
      <c r="S85" s="2605"/>
      <c r="T85" s="333"/>
      <c r="U85" s="333"/>
      <c r="V85" s="332"/>
    </row>
    <row r="86" spans="1:22" ht="15" customHeight="1" hidden="1">
      <c r="A86" s="116"/>
      <c r="B86" s="791" t="s">
        <v>587</v>
      </c>
      <c r="C86" s="883"/>
      <c r="D86" s="2305"/>
      <c r="E86" s="2585"/>
      <c r="F86" s="2586"/>
      <c r="G86" s="444"/>
      <c r="H86" s="655"/>
      <c r="I86" s="333"/>
      <c r="J86" s="333"/>
      <c r="K86" s="333"/>
      <c r="L86" s="333"/>
      <c r="M86" s="333"/>
      <c r="N86" s="333"/>
      <c r="O86" s="333"/>
      <c r="P86" s="2595"/>
      <c r="Q86" s="2618"/>
      <c r="R86" s="2619"/>
      <c r="S86" s="2605"/>
      <c r="T86" s="333"/>
      <c r="U86" s="333"/>
      <c r="V86" s="332"/>
    </row>
    <row r="87" spans="1:22" ht="15" customHeight="1" hidden="1">
      <c r="A87" s="116"/>
      <c r="B87" s="791" t="s">
        <v>313</v>
      </c>
      <c r="C87" s="883"/>
      <c r="D87" s="2305"/>
      <c r="E87" s="2585"/>
      <c r="F87" s="2586"/>
      <c r="G87" s="444"/>
      <c r="H87" s="655"/>
      <c r="I87" s="333"/>
      <c r="J87" s="333"/>
      <c r="K87" s="333"/>
      <c r="L87" s="333"/>
      <c r="M87" s="333"/>
      <c r="N87" s="333"/>
      <c r="O87" s="333"/>
      <c r="P87" s="2595"/>
      <c r="Q87" s="2618"/>
      <c r="R87" s="2619"/>
      <c r="S87" s="2605"/>
      <c r="T87" s="333"/>
      <c r="U87" s="333"/>
      <c r="V87" s="332"/>
    </row>
    <row r="88" spans="1:22" ht="15" customHeight="1">
      <c r="A88" s="116"/>
      <c r="B88" s="791" t="s">
        <v>61</v>
      </c>
      <c r="C88" s="883"/>
      <c r="D88" s="2305"/>
      <c r="E88" s="2585"/>
      <c r="F88" s="2586"/>
      <c r="G88" s="444">
        <v>5000</v>
      </c>
      <c r="H88" s="655">
        <f>G88*30.126/1000</f>
        <v>150.63</v>
      </c>
      <c r="I88" s="333">
        <v>5000</v>
      </c>
      <c r="J88" s="333">
        <f>I88*30.126/1000</f>
        <v>150.63</v>
      </c>
      <c r="K88" s="333"/>
      <c r="L88" s="333"/>
      <c r="M88" s="333"/>
      <c r="N88" s="333"/>
      <c r="O88" s="333">
        <v>5000</v>
      </c>
      <c r="P88" s="2595">
        <f>O88*30.126/1000</f>
        <v>150.63</v>
      </c>
      <c r="Q88" s="2618">
        <v>5000</v>
      </c>
      <c r="R88" s="2619">
        <f>Q88*30.126/1000</f>
        <v>150.63</v>
      </c>
      <c r="S88" s="2605"/>
      <c r="T88" s="333"/>
      <c r="U88" s="333"/>
      <c r="V88" s="332"/>
    </row>
    <row r="89" spans="1:22" ht="15" customHeight="1" hidden="1">
      <c r="A89" s="116"/>
      <c r="B89" s="791" t="s">
        <v>646</v>
      </c>
      <c r="C89" s="883">
        <v>2198</v>
      </c>
      <c r="D89" s="2305"/>
      <c r="E89" s="2585"/>
      <c r="F89" s="2586"/>
      <c r="G89" s="444"/>
      <c r="H89" s="655"/>
      <c r="I89" s="333"/>
      <c r="J89" s="333"/>
      <c r="K89" s="333"/>
      <c r="L89" s="333"/>
      <c r="M89" s="333"/>
      <c r="N89" s="333"/>
      <c r="O89" s="333"/>
      <c r="P89" s="2595"/>
      <c r="Q89" s="2618"/>
      <c r="R89" s="2619"/>
      <c r="S89" s="2605"/>
      <c r="T89" s="333"/>
      <c r="U89" s="333"/>
      <c r="V89" s="332"/>
    </row>
    <row r="90" spans="1:22" ht="15" customHeight="1" hidden="1">
      <c r="A90" s="116"/>
      <c r="B90" s="791" t="s">
        <v>644</v>
      </c>
      <c r="C90" s="883"/>
      <c r="D90" s="2305">
        <v>2644</v>
      </c>
      <c r="E90" s="2585"/>
      <c r="F90" s="2586"/>
      <c r="G90" s="444"/>
      <c r="H90" s="655"/>
      <c r="I90" s="333"/>
      <c r="J90" s="333"/>
      <c r="K90" s="333"/>
      <c r="L90" s="333"/>
      <c r="M90" s="333"/>
      <c r="N90" s="333"/>
      <c r="O90" s="333"/>
      <c r="P90" s="2595"/>
      <c r="Q90" s="2618"/>
      <c r="R90" s="2619"/>
      <c r="S90" s="2605"/>
      <c r="T90" s="333"/>
      <c r="U90" s="333"/>
      <c r="V90" s="332"/>
    </row>
    <row r="91" spans="1:22" ht="15" customHeight="1">
      <c r="A91" s="116"/>
      <c r="B91" s="789" t="s">
        <v>294</v>
      </c>
      <c r="C91" s="881">
        <f>SUM(C92:C94)</f>
        <v>81</v>
      </c>
      <c r="D91" s="2566">
        <f>SUM(D92:D94)</f>
        <v>6189</v>
      </c>
      <c r="E91" s="2585"/>
      <c r="F91" s="2586"/>
      <c r="G91" s="444">
        <f aca="true" t="shared" si="29" ref="G91:N91">SUM(G92:G94)</f>
        <v>10000</v>
      </c>
      <c r="H91" s="655">
        <f t="shared" si="29"/>
        <v>301.26</v>
      </c>
      <c r="I91" s="333">
        <f t="shared" si="29"/>
        <v>10000</v>
      </c>
      <c r="J91" s="333">
        <f t="shared" si="29"/>
        <v>301.26</v>
      </c>
      <c r="K91" s="333">
        <f t="shared" si="29"/>
        <v>0</v>
      </c>
      <c r="L91" s="333">
        <f t="shared" si="29"/>
        <v>0</v>
      </c>
      <c r="M91" s="333">
        <f t="shared" si="29"/>
        <v>0</v>
      </c>
      <c r="N91" s="333">
        <f t="shared" si="29"/>
        <v>0</v>
      </c>
      <c r="O91" s="333">
        <f>SUM(O92:O94)</f>
        <v>10000</v>
      </c>
      <c r="P91" s="2595">
        <f>SUM(P92:P94)</f>
        <v>301.26</v>
      </c>
      <c r="Q91" s="2618">
        <f>SUM(Q92:Q94)</f>
        <v>10000</v>
      </c>
      <c r="R91" s="2619">
        <f>SUM(R92:R94)</f>
        <v>301.26</v>
      </c>
      <c r="S91" s="2605"/>
      <c r="T91" s="333"/>
      <c r="U91" s="333"/>
      <c r="V91" s="332"/>
    </row>
    <row r="92" spans="1:22" ht="15" customHeight="1" hidden="1">
      <c r="A92" s="116"/>
      <c r="B92" s="791" t="s">
        <v>295</v>
      </c>
      <c r="C92" s="883">
        <v>81</v>
      </c>
      <c r="D92" s="2305">
        <v>3573</v>
      </c>
      <c r="E92" s="772"/>
      <c r="F92" s="139"/>
      <c r="G92" s="446"/>
      <c r="H92" s="354"/>
      <c r="I92" s="249"/>
      <c r="J92" s="249"/>
      <c r="K92" s="249"/>
      <c r="L92" s="249"/>
      <c r="M92" s="249"/>
      <c r="N92" s="249"/>
      <c r="O92" s="249"/>
      <c r="P92" s="1553"/>
      <c r="Q92" s="2302"/>
      <c r="R92" s="2303"/>
      <c r="S92" s="2291"/>
      <c r="T92" s="249"/>
      <c r="U92" s="249"/>
      <c r="V92" s="304"/>
    </row>
    <row r="93" spans="1:22" ht="15" customHeight="1">
      <c r="A93" s="116"/>
      <c r="B93" s="791" t="s">
        <v>62</v>
      </c>
      <c r="C93" s="883"/>
      <c r="D93" s="2305"/>
      <c r="E93" s="772"/>
      <c r="F93" s="139"/>
      <c r="G93" s="446">
        <v>10000</v>
      </c>
      <c r="H93" s="354">
        <f>G93*30.126/1000</f>
        <v>301.26</v>
      </c>
      <c r="I93" s="249">
        <v>10000</v>
      </c>
      <c r="J93" s="249">
        <f>I93*30.126/1000</f>
        <v>301.26</v>
      </c>
      <c r="K93" s="249"/>
      <c r="L93" s="249"/>
      <c r="M93" s="249"/>
      <c r="N93" s="249"/>
      <c r="O93" s="249">
        <v>10000</v>
      </c>
      <c r="P93" s="1553">
        <f>O93*30.126/1000</f>
        <v>301.26</v>
      </c>
      <c r="Q93" s="2302">
        <v>10000</v>
      </c>
      <c r="R93" s="2303">
        <f>Q93*30.126/1000</f>
        <v>301.26</v>
      </c>
      <c r="S93" s="2291"/>
      <c r="T93" s="249"/>
      <c r="U93" s="249"/>
      <c r="V93" s="304"/>
    </row>
    <row r="94" spans="1:22" ht="15" customHeight="1" hidden="1">
      <c r="A94" s="116"/>
      <c r="B94" s="791" t="s">
        <v>296</v>
      </c>
      <c r="C94" s="883"/>
      <c r="D94" s="2305">
        <v>2616</v>
      </c>
      <c r="E94" s="772"/>
      <c r="F94" s="139"/>
      <c r="G94" s="446"/>
      <c r="H94" s="354"/>
      <c r="I94" s="249"/>
      <c r="J94" s="249"/>
      <c r="K94" s="249"/>
      <c r="L94" s="249"/>
      <c r="M94" s="249"/>
      <c r="N94" s="249"/>
      <c r="O94" s="249"/>
      <c r="P94" s="1553"/>
      <c r="Q94" s="2302"/>
      <c r="R94" s="2303"/>
      <c r="S94" s="2291"/>
      <c r="T94" s="249"/>
      <c r="U94" s="249"/>
      <c r="V94" s="304"/>
    </row>
    <row r="95" spans="1:22" ht="15" customHeight="1">
      <c r="A95" s="116"/>
      <c r="B95" s="789" t="s">
        <v>297</v>
      </c>
      <c r="C95" s="783">
        <f>SUM(C96:C103)</f>
        <v>697</v>
      </c>
      <c r="D95" s="458">
        <f>SUM(D96:D103)</f>
        <v>1255</v>
      </c>
      <c r="E95" s="772"/>
      <c r="F95" s="139"/>
      <c r="G95" s="446">
        <f aca="true" t="shared" si="30" ref="G95:N95">SUM(G96:G103)</f>
        <v>50000</v>
      </c>
      <c r="H95" s="354">
        <f t="shared" si="30"/>
        <v>1506.3</v>
      </c>
      <c r="I95" s="249">
        <f t="shared" si="30"/>
        <v>20000</v>
      </c>
      <c r="J95" s="249">
        <f t="shared" si="30"/>
        <v>602.52</v>
      </c>
      <c r="K95" s="249">
        <f t="shared" si="30"/>
        <v>0</v>
      </c>
      <c r="L95" s="249">
        <f t="shared" si="30"/>
        <v>0</v>
      </c>
      <c r="M95" s="249">
        <f t="shared" si="30"/>
        <v>0</v>
      </c>
      <c r="N95" s="249">
        <f t="shared" si="30"/>
        <v>0</v>
      </c>
      <c r="O95" s="249">
        <f>SUM(O96:O103)</f>
        <v>20000</v>
      </c>
      <c r="P95" s="1553">
        <f>SUM(P96:P103)</f>
        <v>602.52</v>
      </c>
      <c r="Q95" s="2302">
        <f>SUM(Q96:Q103)</f>
        <v>20000</v>
      </c>
      <c r="R95" s="2303">
        <f>SUM(R96:R103)</f>
        <v>602.52</v>
      </c>
      <c r="S95" s="2291"/>
      <c r="T95" s="249"/>
      <c r="U95" s="249"/>
      <c r="V95" s="304"/>
    </row>
    <row r="96" spans="1:22" ht="15" customHeight="1" hidden="1">
      <c r="A96" s="116"/>
      <c r="B96" s="791" t="s">
        <v>298</v>
      </c>
      <c r="C96" s="883"/>
      <c r="D96" s="2305">
        <v>538</v>
      </c>
      <c r="E96" s="772"/>
      <c r="F96" s="139"/>
      <c r="G96" s="446"/>
      <c r="H96" s="354"/>
      <c r="I96" s="249"/>
      <c r="J96" s="249"/>
      <c r="K96" s="249"/>
      <c r="L96" s="249"/>
      <c r="M96" s="249"/>
      <c r="N96" s="249"/>
      <c r="O96" s="249"/>
      <c r="P96" s="1553"/>
      <c r="Q96" s="2302"/>
      <c r="R96" s="2303"/>
      <c r="S96" s="2291"/>
      <c r="T96" s="249"/>
      <c r="U96" s="249"/>
      <c r="V96" s="304"/>
    </row>
    <row r="97" spans="1:22" ht="15" customHeight="1" hidden="1">
      <c r="A97" s="116"/>
      <c r="B97" s="791" t="s">
        <v>588</v>
      </c>
      <c r="C97" s="883"/>
      <c r="D97" s="2305"/>
      <c r="E97" s="772"/>
      <c r="F97" s="139"/>
      <c r="G97" s="446"/>
      <c r="H97" s="354"/>
      <c r="I97" s="249"/>
      <c r="J97" s="249"/>
      <c r="K97" s="249"/>
      <c r="L97" s="249"/>
      <c r="M97" s="249"/>
      <c r="N97" s="249"/>
      <c r="O97" s="249"/>
      <c r="P97" s="1553"/>
      <c r="Q97" s="2302"/>
      <c r="R97" s="2303"/>
      <c r="S97" s="2291"/>
      <c r="T97" s="249"/>
      <c r="U97" s="249"/>
      <c r="V97" s="304"/>
    </row>
    <row r="98" spans="1:22" ht="15" customHeight="1" hidden="1">
      <c r="A98" s="116"/>
      <c r="B98" s="791" t="s">
        <v>589</v>
      </c>
      <c r="C98" s="883"/>
      <c r="D98" s="2305"/>
      <c r="E98" s="772"/>
      <c r="F98" s="139"/>
      <c r="G98" s="446"/>
      <c r="H98" s="354"/>
      <c r="I98" s="249"/>
      <c r="J98" s="249"/>
      <c r="K98" s="249"/>
      <c r="L98" s="249"/>
      <c r="M98" s="249"/>
      <c r="N98" s="249"/>
      <c r="O98" s="249"/>
      <c r="P98" s="1553"/>
      <c r="Q98" s="2302"/>
      <c r="R98" s="2303"/>
      <c r="S98" s="2291"/>
      <c r="T98" s="249"/>
      <c r="U98" s="249"/>
      <c r="V98" s="304"/>
    </row>
    <row r="99" spans="1:22" ht="15" customHeight="1" hidden="1">
      <c r="A99" s="116"/>
      <c r="B99" s="791" t="s">
        <v>299</v>
      </c>
      <c r="C99" s="883"/>
      <c r="D99" s="2305">
        <v>260</v>
      </c>
      <c r="E99" s="772"/>
      <c r="F99" s="139"/>
      <c r="G99" s="446"/>
      <c r="H99" s="354"/>
      <c r="I99" s="249"/>
      <c r="J99" s="249"/>
      <c r="K99" s="249"/>
      <c r="L99" s="249"/>
      <c r="M99" s="249"/>
      <c r="N99" s="249"/>
      <c r="O99" s="249"/>
      <c r="P99" s="1553"/>
      <c r="Q99" s="2302"/>
      <c r="R99" s="2303"/>
      <c r="S99" s="2291"/>
      <c r="T99" s="249"/>
      <c r="U99" s="249"/>
      <c r="V99" s="304"/>
    </row>
    <row r="100" spans="1:22" ht="15" customHeight="1" hidden="1">
      <c r="A100" s="116"/>
      <c r="B100" s="791" t="s">
        <v>647</v>
      </c>
      <c r="C100" s="883">
        <v>697</v>
      </c>
      <c r="D100" s="2305"/>
      <c r="E100" s="772"/>
      <c r="F100" s="139"/>
      <c r="G100" s="446"/>
      <c r="H100" s="354"/>
      <c r="I100" s="249"/>
      <c r="J100" s="249"/>
      <c r="K100" s="249"/>
      <c r="L100" s="249"/>
      <c r="M100" s="249"/>
      <c r="N100" s="249"/>
      <c r="O100" s="249"/>
      <c r="P100" s="1553"/>
      <c r="Q100" s="2302"/>
      <c r="R100" s="2303"/>
      <c r="S100" s="2291"/>
      <c r="T100" s="249"/>
      <c r="U100" s="249"/>
      <c r="V100" s="304"/>
    </row>
    <row r="101" spans="1:22" ht="15" customHeight="1">
      <c r="A101" s="116"/>
      <c r="B101" s="791" t="s">
        <v>300</v>
      </c>
      <c r="C101" s="883"/>
      <c r="D101" s="2305"/>
      <c r="E101" s="772"/>
      <c r="F101" s="139"/>
      <c r="G101" s="446">
        <v>20000</v>
      </c>
      <c r="H101" s="354">
        <f>G101*30.126/1000</f>
        <v>602.52</v>
      </c>
      <c r="I101" s="249">
        <v>20000</v>
      </c>
      <c r="J101" s="249">
        <f>I101*30.126/1000</f>
        <v>602.52</v>
      </c>
      <c r="K101" s="249"/>
      <c r="L101" s="249"/>
      <c r="M101" s="249"/>
      <c r="N101" s="249"/>
      <c r="O101" s="249">
        <v>20000</v>
      </c>
      <c r="P101" s="1553">
        <f>O101*30.126/1000</f>
        <v>602.52</v>
      </c>
      <c r="Q101" s="2302">
        <v>20000</v>
      </c>
      <c r="R101" s="2303">
        <f>Q101*30.126/1000</f>
        <v>602.52</v>
      </c>
      <c r="S101" s="2291"/>
      <c r="T101" s="249"/>
      <c r="U101" s="249"/>
      <c r="V101" s="304"/>
    </row>
    <row r="102" spans="1:22" ht="15" customHeight="1" hidden="1">
      <c r="A102" s="116"/>
      <c r="B102" s="791" t="s">
        <v>649</v>
      </c>
      <c r="C102" s="883"/>
      <c r="D102" s="2305"/>
      <c r="E102" s="772"/>
      <c r="F102" s="139"/>
      <c r="G102" s="446">
        <v>30000</v>
      </c>
      <c r="H102" s="354">
        <f>G102*30.126/1000</f>
        <v>903.78</v>
      </c>
      <c r="I102" s="249"/>
      <c r="J102" s="249"/>
      <c r="K102" s="249"/>
      <c r="L102" s="249"/>
      <c r="M102" s="249"/>
      <c r="N102" s="249"/>
      <c r="O102" s="249"/>
      <c r="P102" s="1553"/>
      <c r="Q102" s="2302"/>
      <c r="R102" s="2303"/>
      <c r="S102" s="2291"/>
      <c r="T102" s="249"/>
      <c r="U102" s="249"/>
      <c r="V102" s="304"/>
    </row>
    <row r="103" spans="1:22" ht="15" customHeight="1" hidden="1">
      <c r="A103" s="116"/>
      <c r="B103" s="791" t="s">
        <v>301</v>
      </c>
      <c r="C103" s="883"/>
      <c r="D103" s="2305">
        <v>457</v>
      </c>
      <c r="E103" s="772"/>
      <c r="F103" s="139"/>
      <c r="G103" s="446"/>
      <c r="H103" s="354"/>
      <c r="I103" s="249"/>
      <c r="J103" s="249"/>
      <c r="K103" s="249"/>
      <c r="L103" s="249"/>
      <c r="M103" s="249"/>
      <c r="N103" s="249"/>
      <c r="O103" s="249"/>
      <c r="P103" s="1553"/>
      <c r="Q103" s="2302"/>
      <c r="R103" s="2303"/>
      <c r="S103" s="2291"/>
      <c r="T103" s="249"/>
      <c r="U103" s="249"/>
      <c r="V103" s="304"/>
    </row>
    <row r="104" spans="1:22" ht="15" customHeight="1" hidden="1">
      <c r="A104" s="116"/>
      <c r="B104" s="789" t="s">
        <v>302</v>
      </c>
      <c r="C104" s="881">
        <f>SUM(C105:C108)</f>
        <v>0</v>
      </c>
      <c r="D104" s="2566">
        <f>SUM(D105:D108)</f>
        <v>1483</v>
      </c>
      <c r="E104" s="2585">
        <f>SUM(E105:E108)</f>
        <v>0</v>
      </c>
      <c r="F104" s="2586">
        <f>SUM(F105:F108)</f>
        <v>0</v>
      </c>
      <c r="G104" s="444">
        <f aca="true" t="shared" si="31" ref="G104:N104">SUM(G105:G108)</f>
        <v>0</v>
      </c>
      <c r="H104" s="655">
        <f t="shared" si="31"/>
        <v>0</v>
      </c>
      <c r="I104" s="333">
        <f t="shared" si="31"/>
        <v>0</v>
      </c>
      <c r="J104" s="333">
        <f t="shared" si="31"/>
        <v>0</v>
      </c>
      <c r="K104" s="333">
        <f t="shared" si="31"/>
        <v>0</v>
      </c>
      <c r="L104" s="333">
        <f t="shared" si="31"/>
        <v>0</v>
      </c>
      <c r="M104" s="333">
        <f t="shared" si="31"/>
        <v>0</v>
      </c>
      <c r="N104" s="333">
        <f t="shared" si="31"/>
        <v>0</v>
      </c>
      <c r="O104" s="333">
        <f>SUM(O105:O108)</f>
        <v>0</v>
      </c>
      <c r="P104" s="2595">
        <f>SUM(P105:P108)</f>
        <v>0</v>
      </c>
      <c r="Q104" s="2618">
        <f>SUM(Q105:Q108)</f>
        <v>0</v>
      </c>
      <c r="R104" s="2619">
        <f>SUM(R105:R108)</f>
        <v>0</v>
      </c>
      <c r="S104" s="2605"/>
      <c r="T104" s="333"/>
      <c r="U104" s="333"/>
      <c r="V104" s="332"/>
    </row>
    <row r="105" spans="1:22" ht="15" customHeight="1" hidden="1">
      <c r="A105" s="116"/>
      <c r="B105" s="791" t="s">
        <v>303</v>
      </c>
      <c r="C105" s="883"/>
      <c r="D105" s="2305">
        <v>502</v>
      </c>
      <c r="E105" s="772"/>
      <c r="F105" s="139"/>
      <c r="G105" s="446"/>
      <c r="H105" s="354"/>
      <c r="I105" s="249"/>
      <c r="J105" s="249"/>
      <c r="K105" s="249"/>
      <c r="L105" s="249"/>
      <c r="M105" s="249"/>
      <c r="N105" s="249"/>
      <c r="O105" s="249"/>
      <c r="P105" s="1553"/>
      <c r="Q105" s="2302"/>
      <c r="R105" s="2303"/>
      <c r="S105" s="2291"/>
      <c r="T105" s="249"/>
      <c r="U105" s="249"/>
      <c r="V105" s="304"/>
    </row>
    <row r="106" spans="1:22" ht="15" customHeight="1" hidden="1">
      <c r="A106" s="116"/>
      <c r="B106" s="791" t="s">
        <v>586</v>
      </c>
      <c r="C106" s="883"/>
      <c r="D106" s="2305"/>
      <c r="E106" s="772"/>
      <c r="F106" s="139"/>
      <c r="G106" s="446"/>
      <c r="H106" s="354"/>
      <c r="I106" s="249"/>
      <c r="J106" s="249"/>
      <c r="K106" s="249"/>
      <c r="L106" s="249"/>
      <c r="M106" s="249"/>
      <c r="N106" s="249"/>
      <c r="O106" s="249"/>
      <c r="P106" s="1553"/>
      <c r="Q106" s="2302"/>
      <c r="R106" s="2303"/>
      <c r="S106" s="2291"/>
      <c r="T106" s="249"/>
      <c r="U106" s="249"/>
      <c r="V106" s="304"/>
    </row>
    <row r="107" spans="1:22" ht="15" customHeight="1" hidden="1">
      <c r="A107" s="116"/>
      <c r="B107" s="791" t="s">
        <v>304</v>
      </c>
      <c r="C107" s="883"/>
      <c r="D107" s="2305"/>
      <c r="E107" s="772"/>
      <c r="F107" s="139"/>
      <c r="G107" s="446"/>
      <c r="H107" s="354"/>
      <c r="I107" s="249"/>
      <c r="J107" s="249"/>
      <c r="K107" s="249"/>
      <c r="L107" s="249"/>
      <c r="M107" s="249"/>
      <c r="N107" s="249"/>
      <c r="O107" s="249"/>
      <c r="P107" s="1553"/>
      <c r="Q107" s="2302"/>
      <c r="R107" s="2303"/>
      <c r="S107" s="2291"/>
      <c r="T107" s="249"/>
      <c r="U107" s="249"/>
      <c r="V107" s="304"/>
    </row>
    <row r="108" spans="1:22" ht="15" customHeight="1" hidden="1">
      <c r="A108" s="116"/>
      <c r="B108" s="791" t="s">
        <v>305</v>
      </c>
      <c r="C108" s="883"/>
      <c r="D108" s="2305">
        <v>981</v>
      </c>
      <c r="E108" s="772"/>
      <c r="F108" s="139"/>
      <c r="G108" s="446"/>
      <c r="H108" s="354"/>
      <c r="I108" s="249"/>
      <c r="J108" s="249"/>
      <c r="K108" s="249"/>
      <c r="L108" s="249"/>
      <c r="M108" s="249"/>
      <c r="N108" s="249"/>
      <c r="O108" s="249"/>
      <c r="P108" s="1553"/>
      <c r="Q108" s="2302"/>
      <c r="R108" s="2303"/>
      <c r="S108" s="2291"/>
      <c r="T108" s="249"/>
      <c r="U108" s="249"/>
      <c r="V108" s="304"/>
    </row>
    <row r="109" spans="1:22" ht="15" customHeight="1">
      <c r="A109" s="116"/>
      <c r="B109" s="789" t="s">
        <v>306</v>
      </c>
      <c r="C109" s="881">
        <f>SUM(C110:C117)</f>
        <v>2693</v>
      </c>
      <c r="D109" s="2566">
        <f>SUM(D110:D117)</f>
        <v>10</v>
      </c>
      <c r="E109" s="2585">
        <v>299918</v>
      </c>
      <c r="F109" s="2586">
        <v>9035</v>
      </c>
      <c r="G109" s="444">
        <f aca="true" t="shared" si="32" ref="G109:N109">SUM(G110:G117)</f>
        <v>298000</v>
      </c>
      <c r="H109" s="655">
        <f t="shared" si="32"/>
        <v>8977.547999999999</v>
      </c>
      <c r="I109" s="333">
        <f t="shared" si="32"/>
        <v>298000</v>
      </c>
      <c r="J109" s="333">
        <f t="shared" si="32"/>
        <v>8977.547999999999</v>
      </c>
      <c r="K109" s="333">
        <f t="shared" si="32"/>
        <v>0</v>
      </c>
      <c r="L109" s="333">
        <f t="shared" si="32"/>
        <v>0</v>
      </c>
      <c r="M109" s="333">
        <f t="shared" si="32"/>
        <v>0</v>
      </c>
      <c r="N109" s="333">
        <f t="shared" si="32"/>
        <v>0</v>
      </c>
      <c r="O109" s="333">
        <f>SUM(O110:O117)</f>
        <v>298000</v>
      </c>
      <c r="P109" s="2595">
        <f>SUM(P110:P117)</f>
        <v>8977.547999999999</v>
      </c>
      <c r="Q109" s="2618">
        <f>SUM(Q110:Q117)</f>
        <v>298000</v>
      </c>
      <c r="R109" s="2619">
        <f>SUM(R110:R117)</f>
        <v>8977.547999999999</v>
      </c>
      <c r="S109" s="2605"/>
      <c r="T109" s="333"/>
      <c r="U109" s="333"/>
      <c r="V109" s="332"/>
    </row>
    <row r="110" spans="1:22" ht="15" customHeight="1">
      <c r="A110" s="116"/>
      <c r="B110" s="791" t="s">
        <v>307</v>
      </c>
      <c r="C110" s="883"/>
      <c r="D110" s="2305"/>
      <c r="E110" s="772">
        <v>299918</v>
      </c>
      <c r="F110" s="139">
        <f>(E110*30.126)/1000</f>
        <v>9035.329668</v>
      </c>
      <c r="G110" s="446"/>
      <c r="H110" s="354"/>
      <c r="I110" s="249"/>
      <c r="J110" s="249"/>
      <c r="K110" s="249"/>
      <c r="L110" s="249"/>
      <c r="M110" s="249"/>
      <c r="N110" s="249"/>
      <c r="O110" s="249"/>
      <c r="P110" s="1553"/>
      <c r="Q110" s="2302"/>
      <c r="R110" s="2303"/>
      <c r="S110" s="2291"/>
      <c r="T110" s="249"/>
      <c r="U110" s="249"/>
      <c r="V110" s="304"/>
    </row>
    <row r="111" spans="1:22" ht="15" customHeight="1" hidden="1">
      <c r="A111" s="116"/>
      <c r="B111" s="791" t="s">
        <v>313</v>
      </c>
      <c r="C111" s="883">
        <v>2616</v>
      </c>
      <c r="D111" s="2305">
        <v>10</v>
      </c>
      <c r="E111" s="772"/>
      <c r="F111" s="139"/>
      <c r="G111" s="446"/>
      <c r="H111" s="354"/>
      <c r="I111" s="249"/>
      <c r="J111" s="249"/>
      <c r="K111" s="249"/>
      <c r="L111" s="249"/>
      <c r="M111" s="249"/>
      <c r="N111" s="249"/>
      <c r="O111" s="249"/>
      <c r="P111" s="1553"/>
      <c r="Q111" s="2302"/>
      <c r="R111" s="2303"/>
      <c r="S111" s="2291"/>
      <c r="T111" s="249"/>
      <c r="U111" s="249"/>
      <c r="V111" s="304"/>
    </row>
    <row r="112" spans="1:22" ht="15" customHeight="1" hidden="1">
      <c r="A112" s="116"/>
      <c r="B112" s="791" t="s">
        <v>639</v>
      </c>
      <c r="C112" s="883">
        <v>46</v>
      </c>
      <c r="D112" s="2305"/>
      <c r="E112" s="772"/>
      <c r="F112" s="139"/>
      <c r="G112" s="446"/>
      <c r="H112" s="354"/>
      <c r="I112" s="249"/>
      <c r="J112" s="249"/>
      <c r="K112" s="249"/>
      <c r="L112" s="249"/>
      <c r="M112" s="249"/>
      <c r="N112" s="249"/>
      <c r="O112" s="249"/>
      <c r="P112" s="1553"/>
      <c r="Q112" s="2302"/>
      <c r="R112" s="2303"/>
      <c r="S112" s="2291"/>
      <c r="T112" s="249"/>
      <c r="U112" s="249"/>
      <c r="V112" s="304"/>
    </row>
    <row r="113" spans="1:22" ht="15" customHeight="1" hidden="1">
      <c r="A113" s="116"/>
      <c r="B113" s="791" t="s">
        <v>640</v>
      </c>
      <c r="C113" s="883">
        <v>31</v>
      </c>
      <c r="D113" s="2305"/>
      <c r="E113" s="772"/>
      <c r="F113" s="139"/>
      <c r="G113" s="446"/>
      <c r="H113" s="354"/>
      <c r="I113" s="249"/>
      <c r="J113" s="249"/>
      <c r="K113" s="249"/>
      <c r="L113" s="249"/>
      <c r="M113" s="249"/>
      <c r="N113" s="249"/>
      <c r="O113" s="249"/>
      <c r="P113" s="1553"/>
      <c r="Q113" s="2302"/>
      <c r="R113" s="2303"/>
      <c r="S113" s="2291"/>
      <c r="T113" s="249"/>
      <c r="U113" s="249"/>
      <c r="V113" s="304"/>
    </row>
    <row r="114" spans="1:22" ht="15" customHeight="1">
      <c r="A114" s="116"/>
      <c r="B114" s="791" t="s">
        <v>63</v>
      </c>
      <c r="C114" s="883"/>
      <c r="D114" s="2305"/>
      <c r="E114" s="772"/>
      <c r="F114" s="139"/>
      <c r="G114" s="446">
        <v>200000</v>
      </c>
      <c r="H114" s="354">
        <f>G114*30.126/1000</f>
        <v>6025.2</v>
      </c>
      <c r="I114" s="249">
        <v>200000</v>
      </c>
      <c r="J114" s="249">
        <f>I114*30.126/1000</f>
        <v>6025.2</v>
      </c>
      <c r="K114" s="249"/>
      <c r="L114" s="249"/>
      <c r="M114" s="249"/>
      <c r="N114" s="249"/>
      <c r="O114" s="249">
        <v>200000</v>
      </c>
      <c r="P114" s="1553">
        <f>O114*30.126/1000</f>
        <v>6025.2</v>
      </c>
      <c r="Q114" s="2302">
        <v>200000</v>
      </c>
      <c r="R114" s="2303">
        <f>Q114*30.126/1000</f>
        <v>6025.2</v>
      </c>
      <c r="S114" s="2291"/>
      <c r="T114" s="249"/>
      <c r="U114" s="249"/>
      <c r="V114" s="304"/>
    </row>
    <row r="115" spans="1:22" ht="15" customHeight="1">
      <c r="A115" s="116"/>
      <c r="B115" s="791" t="s">
        <v>64</v>
      </c>
      <c r="C115" s="883"/>
      <c r="D115" s="2305"/>
      <c r="E115" s="772"/>
      <c r="F115" s="139"/>
      <c r="G115" s="446">
        <v>83000</v>
      </c>
      <c r="H115" s="354">
        <f>G115*30.126/1000</f>
        <v>2500.458</v>
      </c>
      <c r="I115" s="249">
        <v>83000</v>
      </c>
      <c r="J115" s="249">
        <f>I115*30.126/1000</f>
        <v>2500.458</v>
      </c>
      <c r="K115" s="249"/>
      <c r="L115" s="249"/>
      <c r="M115" s="249"/>
      <c r="N115" s="249"/>
      <c r="O115" s="249">
        <v>83000</v>
      </c>
      <c r="P115" s="1553">
        <f>O115*30.126/1000</f>
        <v>2500.458</v>
      </c>
      <c r="Q115" s="2302">
        <v>83000</v>
      </c>
      <c r="R115" s="2303">
        <f>Q115*30.126/1000</f>
        <v>2500.458</v>
      </c>
      <c r="S115" s="2291"/>
      <c r="T115" s="249"/>
      <c r="U115" s="249"/>
      <c r="V115" s="304"/>
    </row>
    <row r="116" spans="1:22" ht="15" customHeight="1">
      <c r="A116" s="116"/>
      <c r="B116" s="791" t="s">
        <v>62</v>
      </c>
      <c r="C116" s="883"/>
      <c r="D116" s="2305"/>
      <c r="E116" s="772"/>
      <c r="F116" s="139"/>
      <c r="G116" s="446">
        <v>15000</v>
      </c>
      <c r="H116" s="354">
        <f>G116*30.126/1000</f>
        <v>451.89</v>
      </c>
      <c r="I116" s="249">
        <v>15000</v>
      </c>
      <c r="J116" s="249">
        <f>I116*30.126/1000</f>
        <v>451.89</v>
      </c>
      <c r="K116" s="249"/>
      <c r="L116" s="249"/>
      <c r="M116" s="249"/>
      <c r="N116" s="249"/>
      <c r="O116" s="249">
        <v>15000</v>
      </c>
      <c r="P116" s="1553">
        <f>O116*30.126/1000</f>
        <v>451.89</v>
      </c>
      <c r="Q116" s="2302">
        <v>15000</v>
      </c>
      <c r="R116" s="2303">
        <f>Q116*30.126/1000</f>
        <v>451.89</v>
      </c>
      <c r="S116" s="2291"/>
      <c r="T116" s="249"/>
      <c r="U116" s="249"/>
      <c r="V116" s="304"/>
    </row>
    <row r="117" spans="1:22" ht="15" customHeight="1" hidden="1">
      <c r="A117" s="116"/>
      <c r="B117" s="791" t="s">
        <v>308</v>
      </c>
      <c r="C117" s="883"/>
      <c r="D117" s="2305"/>
      <c r="E117" s="772"/>
      <c r="F117" s="139"/>
      <c r="G117" s="446"/>
      <c r="H117" s="354"/>
      <c r="I117" s="249"/>
      <c r="J117" s="249"/>
      <c r="K117" s="249"/>
      <c r="L117" s="249"/>
      <c r="M117" s="249"/>
      <c r="N117" s="249"/>
      <c r="O117" s="249"/>
      <c r="P117" s="1553"/>
      <c r="Q117" s="2302"/>
      <c r="R117" s="2303"/>
      <c r="S117" s="2291"/>
      <c r="T117" s="249"/>
      <c r="U117" s="249"/>
      <c r="V117" s="304"/>
    </row>
    <row r="118" spans="1:22" ht="15" customHeight="1">
      <c r="A118" s="116"/>
      <c r="B118" s="789" t="s">
        <v>309</v>
      </c>
      <c r="C118" s="881">
        <f>SUM(C119:C122)</f>
        <v>0</v>
      </c>
      <c r="D118" s="2566">
        <f aca="true" t="shared" si="33" ref="D118:N118">SUM(D119:D122)</f>
        <v>0</v>
      </c>
      <c r="E118" s="2585"/>
      <c r="F118" s="2586"/>
      <c r="G118" s="444">
        <f t="shared" si="33"/>
        <v>20000</v>
      </c>
      <c r="H118" s="655">
        <f t="shared" si="33"/>
        <v>602.52</v>
      </c>
      <c r="I118" s="333">
        <f t="shared" si="33"/>
        <v>20000</v>
      </c>
      <c r="J118" s="333">
        <f t="shared" si="33"/>
        <v>602.52</v>
      </c>
      <c r="K118" s="333">
        <f t="shared" si="33"/>
        <v>0</v>
      </c>
      <c r="L118" s="333">
        <f t="shared" si="33"/>
        <v>0</v>
      </c>
      <c r="M118" s="333">
        <f t="shared" si="33"/>
        <v>0</v>
      </c>
      <c r="N118" s="333">
        <f t="shared" si="33"/>
        <v>0</v>
      </c>
      <c r="O118" s="333">
        <f>SUM(O119:O122)</f>
        <v>20000</v>
      </c>
      <c r="P118" s="2595">
        <f>SUM(P119:P122)</f>
        <v>602.52</v>
      </c>
      <c r="Q118" s="2618">
        <f>SUM(Q119:Q122)</f>
        <v>20000</v>
      </c>
      <c r="R118" s="2619">
        <f>SUM(R119:R122)</f>
        <v>602.52</v>
      </c>
      <c r="S118" s="2605"/>
      <c r="T118" s="333"/>
      <c r="U118" s="333"/>
      <c r="V118" s="332"/>
    </row>
    <row r="119" spans="1:22" ht="15" customHeight="1" hidden="1">
      <c r="A119" s="116"/>
      <c r="B119" s="791" t="s">
        <v>310</v>
      </c>
      <c r="C119" s="883"/>
      <c r="D119" s="2305"/>
      <c r="E119" s="772"/>
      <c r="F119" s="139"/>
      <c r="G119" s="446"/>
      <c r="H119" s="354"/>
      <c r="I119" s="249"/>
      <c r="J119" s="249"/>
      <c r="K119" s="249"/>
      <c r="L119" s="249"/>
      <c r="M119" s="249"/>
      <c r="N119" s="249"/>
      <c r="O119" s="249"/>
      <c r="P119" s="1553"/>
      <c r="Q119" s="2302"/>
      <c r="R119" s="2303"/>
      <c r="S119" s="2291"/>
      <c r="T119" s="249"/>
      <c r="U119" s="249"/>
      <c r="V119" s="304"/>
    </row>
    <row r="120" spans="1:22" ht="15" customHeight="1" hidden="1">
      <c r="A120" s="116"/>
      <c r="B120" s="791" t="s">
        <v>590</v>
      </c>
      <c r="C120" s="883"/>
      <c r="D120" s="2305"/>
      <c r="E120" s="772"/>
      <c r="F120" s="139"/>
      <c r="G120" s="446"/>
      <c r="H120" s="354"/>
      <c r="I120" s="249"/>
      <c r="J120" s="249"/>
      <c r="K120" s="249"/>
      <c r="L120" s="249"/>
      <c r="M120" s="249"/>
      <c r="N120" s="249"/>
      <c r="O120" s="249"/>
      <c r="P120" s="1553"/>
      <c r="Q120" s="2302"/>
      <c r="R120" s="2303"/>
      <c r="S120" s="2291"/>
      <c r="T120" s="249"/>
      <c r="U120" s="249"/>
      <c r="V120" s="304"/>
    </row>
    <row r="121" spans="1:22" ht="15" customHeight="1">
      <c r="A121" s="116"/>
      <c r="B121" s="791" t="s">
        <v>66</v>
      </c>
      <c r="C121" s="883"/>
      <c r="D121" s="2305"/>
      <c r="E121" s="772"/>
      <c r="F121" s="139"/>
      <c r="G121" s="446">
        <v>20000</v>
      </c>
      <c r="H121" s="354">
        <f>G121*30.126/1000</f>
        <v>602.52</v>
      </c>
      <c r="I121" s="249">
        <v>20000</v>
      </c>
      <c r="J121" s="249">
        <f>I121*30.126/1000</f>
        <v>602.52</v>
      </c>
      <c r="K121" s="249"/>
      <c r="L121" s="249"/>
      <c r="M121" s="249"/>
      <c r="N121" s="249"/>
      <c r="O121" s="249">
        <v>20000</v>
      </c>
      <c r="P121" s="1553">
        <f>O121*30.126/1000</f>
        <v>602.52</v>
      </c>
      <c r="Q121" s="2302">
        <v>20000</v>
      </c>
      <c r="R121" s="2303">
        <f>Q121*30.126/1000</f>
        <v>602.52</v>
      </c>
      <c r="S121" s="2291"/>
      <c r="T121" s="249"/>
      <c r="U121" s="249"/>
      <c r="V121" s="304"/>
    </row>
    <row r="122" spans="1:22" ht="15" customHeight="1" hidden="1">
      <c r="A122" s="116"/>
      <c r="B122" s="791" t="s">
        <v>313</v>
      </c>
      <c r="C122" s="883"/>
      <c r="D122" s="2305"/>
      <c r="E122" s="772"/>
      <c r="F122" s="139"/>
      <c r="G122" s="446"/>
      <c r="H122" s="354"/>
      <c r="I122" s="249"/>
      <c r="J122" s="249"/>
      <c r="K122" s="249"/>
      <c r="L122" s="249"/>
      <c r="M122" s="249"/>
      <c r="N122" s="249"/>
      <c r="O122" s="249"/>
      <c r="P122" s="1553"/>
      <c r="Q122" s="2302"/>
      <c r="R122" s="2303"/>
      <c r="S122" s="2291"/>
      <c r="T122" s="249"/>
      <c r="U122" s="249"/>
      <c r="V122" s="304"/>
    </row>
    <row r="123" spans="1:22" ht="15" customHeight="1" hidden="1">
      <c r="A123" s="116"/>
      <c r="B123" s="789" t="s">
        <v>311</v>
      </c>
      <c r="C123" s="883"/>
      <c r="D123" s="2305">
        <v>11</v>
      </c>
      <c r="E123" s="2585"/>
      <c r="F123" s="2586"/>
      <c r="G123" s="444"/>
      <c r="H123" s="655"/>
      <c r="I123" s="333"/>
      <c r="J123" s="333"/>
      <c r="K123" s="333"/>
      <c r="L123" s="333"/>
      <c r="M123" s="333"/>
      <c r="N123" s="333"/>
      <c r="O123" s="333"/>
      <c r="P123" s="2595"/>
      <c r="Q123" s="2618"/>
      <c r="R123" s="2619"/>
      <c r="S123" s="2605"/>
      <c r="T123" s="333"/>
      <c r="U123" s="333"/>
      <c r="V123" s="332"/>
    </row>
    <row r="124" spans="1:22" ht="15" customHeight="1" hidden="1">
      <c r="A124" s="116"/>
      <c r="B124" s="789" t="s">
        <v>650</v>
      </c>
      <c r="C124" s="883">
        <v>274</v>
      </c>
      <c r="D124" s="2305"/>
      <c r="E124" s="2585"/>
      <c r="F124" s="2586"/>
      <c r="G124" s="444"/>
      <c r="H124" s="655"/>
      <c r="I124" s="333"/>
      <c r="J124" s="333"/>
      <c r="K124" s="333"/>
      <c r="L124" s="333"/>
      <c r="M124" s="333"/>
      <c r="N124" s="333"/>
      <c r="O124" s="333"/>
      <c r="P124" s="2595"/>
      <c r="Q124" s="2618"/>
      <c r="R124" s="2619"/>
      <c r="S124" s="2605"/>
      <c r="T124" s="333"/>
      <c r="U124" s="333"/>
      <c r="V124" s="332"/>
    </row>
    <row r="125" spans="1:22" ht="15" customHeight="1">
      <c r="A125" s="116"/>
      <c r="B125" s="789" t="s">
        <v>312</v>
      </c>
      <c r="C125" s="881">
        <f>SUM(C126:C134)</f>
        <v>3366</v>
      </c>
      <c r="D125" s="2566">
        <f>SUM(D126:D134)</f>
        <v>2399</v>
      </c>
      <c r="E125" s="2585">
        <f>SUM(E126:E134)</f>
        <v>21287</v>
      </c>
      <c r="F125" s="2586">
        <f>SUM(F126:F134)</f>
        <v>641.2921620000001</v>
      </c>
      <c r="G125" s="444">
        <f aca="true" t="shared" si="34" ref="G125:N125">SUM(G126:G134)</f>
        <v>0</v>
      </c>
      <c r="H125" s="655">
        <f t="shared" si="34"/>
        <v>0</v>
      </c>
      <c r="I125" s="333">
        <f t="shared" si="34"/>
        <v>0</v>
      </c>
      <c r="J125" s="333">
        <f t="shared" si="34"/>
        <v>0</v>
      </c>
      <c r="K125" s="333">
        <f t="shared" si="34"/>
        <v>14000</v>
      </c>
      <c r="L125" s="333">
        <f t="shared" si="34"/>
        <v>421.764</v>
      </c>
      <c r="M125" s="333">
        <f t="shared" si="34"/>
        <v>10000</v>
      </c>
      <c r="N125" s="333">
        <f t="shared" si="34"/>
        <v>301.26</v>
      </c>
      <c r="O125" s="333">
        <f>SUM(O126:O134)</f>
        <v>0</v>
      </c>
      <c r="P125" s="2595">
        <f>SUM(P126:P134)</f>
        <v>0</v>
      </c>
      <c r="Q125" s="2618"/>
      <c r="R125" s="2619"/>
      <c r="S125" s="2605"/>
      <c r="T125" s="333"/>
      <c r="U125" s="333"/>
      <c r="V125" s="332"/>
    </row>
    <row r="126" spans="1:22" ht="15" customHeight="1" hidden="1">
      <c r="A126" s="116"/>
      <c r="B126" s="791" t="s">
        <v>313</v>
      </c>
      <c r="C126" s="883"/>
      <c r="D126" s="2305">
        <v>915</v>
      </c>
      <c r="E126" s="772"/>
      <c r="F126" s="139"/>
      <c r="G126" s="446"/>
      <c r="H126" s="354"/>
      <c r="I126" s="249"/>
      <c r="J126" s="249"/>
      <c r="K126" s="249"/>
      <c r="L126" s="249"/>
      <c r="M126" s="249"/>
      <c r="N126" s="249"/>
      <c r="O126" s="249"/>
      <c r="P126" s="1553"/>
      <c r="Q126" s="2302"/>
      <c r="R126" s="2303"/>
      <c r="S126" s="2291"/>
      <c r="T126" s="249"/>
      <c r="U126" s="249"/>
      <c r="V126" s="304"/>
    </row>
    <row r="127" spans="1:22" ht="15" customHeight="1" hidden="1">
      <c r="A127" s="116"/>
      <c r="B127" s="791" t="s">
        <v>641</v>
      </c>
      <c r="C127" s="883">
        <v>940</v>
      </c>
      <c r="D127" s="2305"/>
      <c r="E127" s="772"/>
      <c r="F127" s="139"/>
      <c r="G127" s="446"/>
      <c r="H127" s="354"/>
      <c r="I127" s="249"/>
      <c r="J127" s="249"/>
      <c r="K127" s="249"/>
      <c r="L127" s="249"/>
      <c r="M127" s="249"/>
      <c r="N127" s="249"/>
      <c r="O127" s="249"/>
      <c r="P127" s="1553"/>
      <c r="Q127" s="2302"/>
      <c r="R127" s="2303"/>
      <c r="S127" s="2291"/>
      <c r="T127" s="249"/>
      <c r="U127" s="249"/>
      <c r="V127" s="304"/>
    </row>
    <row r="128" spans="1:22" ht="15" customHeight="1" hidden="1">
      <c r="A128" s="116"/>
      <c r="B128" s="791" t="s">
        <v>642</v>
      </c>
      <c r="C128" s="883">
        <v>1573</v>
      </c>
      <c r="D128" s="2305"/>
      <c r="E128" s="772"/>
      <c r="F128" s="139"/>
      <c r="G128" s="446"/>
      <c r="H128" s="354"/>
      <c r="I128" s="249"/>
      <c r="J128" s="249"/>
      <c r="K128" s="249"/>
      <c r="L128" s="249"/>
      <c r="M128" s="249"/>
      <c r="N128" s="249"/>
      <c r="O128" s="249"/>
      <c r="P128" s="1553"/>
      <c r="Q128" s="2302"/>
      <c r="R128" s="2303"/>
      <c r="S128" s="2291"/>
      <c r="T128" s="249"/>
      <c r="U128" s="249"/>
      <c r="V128" s="304"/>
    </row>
    <row r="129" spans="1:22" ht="15" customHeight="1" hidden="1">
      <c r="A129" s="116"/>
      <c r="B129" s="791" t="s">
        <v>649</v>
      </c>
      <c r="C129" s="883">
        <v>853</v>
      </c>
      <c r="D129" s="2305"/>
      <c r="E129" s="772"/>
      <c r="F129" s="139"/>
      <c r="G129" s="446"/>
      <c r="H129" s="354"/>
      <c r="I129" s="249"/>
      <c r="J129" s="249"/>
      <c r="K129" s="249"/>
      <c r="L129" s="249"/>
      <c r="M129" s="249"/>
      <c r="N129" s="249"/>
      <c r="O129" s="249"/>
      <c r="P129" s="1553"/>
      <c r="Q129" s="2302"/>
      <c r="R129" s="2303"/>
      <c r="S129" s="2291"/>
      <c r="T129" s="249"/>
      <c r="U129" s="249"/>
      <c r="V129" s="304"/>
    </row>
    <row r="130" spans="1:22" ht="15" customHeight="1">
      <c r="A130" s="116"/>
      <c r="B130" s="791" t="s">
        <v>628</v>
      </c>
      <c r="C130" s="883"/>
      <c r="D130" s="2305"/>
      <c r="E130" s="772">
        <v>2987</v>
      </c>
      <c r="F130" s="139">
        <f>(E130*30.126)/1000</f>
        <v>89.98636200000001</v>
      </c>
      <c r="G130" s="446"/>
      <c r="H130" s="354"/>
      <c r="I130" s="249"/>
      <c r="J130" s="249"/>
      <c r="K130" s="249"/>
      <c r="L130" s="249"/>
      <c r="M130" s="249"/>
      <c r="N130" s="249"/>
      <c r="O130" s="249"/>
      <c r="P130" s="1553"/>
      <c r="Q130" s="2302"/>
      <c r="R130" s="2303"/>
      <c r="S130" s="2291"/>
      <c r="T130" s="249"/>
      <c r="U130" s="249"/>
      <c r="V130" s="304"/>
    </row>
    <row r="131" spans="1:22" ht="15" customHeight="1" hidden="1">
      <c r="A131" s="116"/>
      <c r="B131" s="791" t="s">
        <v>631</v>
      </c>
      <c r="C131" s="883"/>
      <c r="D131" s="2305">
        <v>1431</v>
      </c>
      <c r="E131" s="772"/>
      <c r="F131" s="139"/>
      <c r="G131" s="446"/>
      <c r="H131" s="354"/>
      <c r="I131" s="249"/>
      <c r="J131" s="249"/>
      <c r="K131" s="249"/>
      <c r="L131" s="249"/>
      <c r="M131" s="249"/>
      <c r="N131" s="249"/>
      <c r="O131" s="249"/>
      <c r="P131" s="1553"/>
      <c r="Q131" s="2302"/>
      <c r="R131" s="2303"/>
      <c r="S131" s="2291"/>
      <c r="T131" s="249"/>
      <c r="U131" s="249"/>
      <c r="V131" s="304"/>
    </row>
    <row r="132" spans="1:22" ht="15" customHeight="1">
      <c r="A132" s="116"/>
      <c r="B132" s="791" t="s">
        <v>629</v>
      </c>
      <c r="C132" s="883"/>
      <c r="D132" s="2305"/>
      <c r="E132" s="772">
        <v>18300</v>
      </c>
      <c r="F132" s="139">
        <f>(E132*30.126)/1000</f>
        <v>551.3058000000001</v>
      </c>
      <c r="G132" s="446"/>
      <c r="H132" s="354"/>
      <c r="I132" s="249"/>
      <c r="J132" s="249"/>
      <c r="K132" s="249">
        <v>14000</v>
      </c>
      <c r="L132" s="249">
        <f>K132*30.126/1000</f>
        <v>421.764</v>
      </c>
      <c r="M132" s="249"/>
      <c r="N132" s="249"/>
      <c r="O132" s="249"/>
      <c r="P132" s="1553"/>
      <c r="Q132" s="2302"/>
      <c r="R132" s="2303"/>
      <c r="S132" s="2291"/>
      <c r="T132" s="249"/>
      <c r="U132" s="249"/>
      <c r="V132" s="304"/>
    </row>
    <row r="133" spans="1:22" ht="15" customHeight="1" hidden="1">
      <c r="A133" s="116"/>
      <c r="B133" s="791" t="s">
        <v>67</v>
      </c>
      <c r="C133" s="883"/>
      <c r="D133" s="2305"/>
      <c r="E133" s="772"/>
      <c r="F133" s="139"/>
      <c r="G133" s="446"/>
      <c r="H133" s="354"/>
      <c r="I133" s="249"/>
      <c r="J133" s="249"/>
      <c r="K133" s="249"/>
      <c r="L133" s="249"/>
      <c r="M133" s="249">
        <v>10000</v>
      </c>
      <c r="N133" s="249">
        <f>M133*30.126/1000</f>
        <v>301.26</v>
      </c>
      <c r="O133" s="249"/>
      <c r="P133" s="1553"/>
      <c r="Q133" s="2302"/>
      <c r="R133" s="2303"/>
      <c r="S133" s="2291"/>
      <c r="T133" s="249"/>
      <c r="U133" s="249"/>
      <c r="V133" s="304"/>
    </row>
    <row r="134" spans="1:22" ht="15" customHeight="1" hidden="1">
      <c r="A134" s="116"/>
      <c r="B134" s="791" t="s">
        <v>314</v>
      </c>
      <c r="C134" s="883"/>
      <c r="D134" s="2305">
        <v>53</v>
      </c>
      <c r="E134" s="772"/>
      <c r="F134" s="139"/>
      <c r="G134" s="446"/>
      <c r="H134" s="354"/>
      <c r="I134" s="249"/>
      <c r="J134" s="249"/>
      <c r="K134" s="249"/>
      <c r="L134" s="249"/>
      <c r="M134" s="249"/>
      <c r="N134" s="249"/>
      <c r="O134" s="249"/>
      <c r="P134" s="1553"/>
      <c r="Q134" s="2302"/>
      <c r="R134" s="2303"/>
      <c r="S134" s="2291"/>
      <c r="T134" s="249"/>
      <c r="U134" s="249"/>
      <c r="V134" s="304"/>
    </row>
    <row r="135" spans="1:22" ht="15" customHeight="1">
      <c r="A135" s="116"/>
      <c r="B135" s="789" t="s">
        <v>315</v>
      </c>
      <c r="C135" s="881">
        <f>SUM(C136:C143)</f>
        <v>8151</v>
      </c>
      <c r="D135" s="2566">
        <f>SUM(D136:D143)</f>
        <v>8947</v>
      </c>
      <c r="E135" s="2585">
        <f>SUM(E136:E143)</f>
        <v>171639</v>
      </c>
      <c r="F135" s="2586">
        <f>SUM(F136:F143)</f>
        <v>5170.796514</v>
      </c>
      <c r="G135" s="444">
        <f aca="true" t="shared" si="35" ref="G135:N135">SUM(G136:G143)</f>
        <v>27000</v>
      </c>
      <c r="H135" s="655">
        <f t="shared" si="35"/>
        <v>813.4019999999999</v>
      </c>
      <c r="I135" s="333">
        <f t="shared" si="35"/>
        <v>27000</v>
      </c>
      <c r="J135" s="333">
        <f t="shared" si="35"/>
        <v>813.4019999999999</v>
      </c>
      <c r="K135" s="333">
        <f t="shared" si="35"/>
        <v>0</v>
      </c>
      <c r="L135" s="333">
        <f t="shared" si="35"/>
        <v>0</v>
      </c>
      <c r="M135" s="333">
        <f t="shared" si="35"/>
        <v>0</v>
      </c>
      <c r="N135" s="333">
        <f t="shared" si="35"/>
        <v>0</v>
      </c>
      <c r="O135" s="333">
        <f>SUM(O136:O143)</f>
        <v>27000</v>
      </c>
      <c r="P135" s="2595">
        <f>SUM(P136:P143)</f>
        <v>813.4019999999999</v>
      </c>
      <c r="Q135" s="2618">
        <f>SUM(Q136:Q143)</f>
        <v>27000</v>
      </c>
      <c r="R135" s="2619">
        <f>SUM(R136:R143)</f>
        <v>813.4019999999999</v>
      </c>
      <c r="S135" s="2605"/>
      <c r="T135" s="333"/>
      <c r="U135" s="333"/>
      <c r="V135" s="332"/>
    </row>
    <row r="136" spans="1:22" ht="15" customHeight="1" hidden="1">
      <c r="A136" s="116"/>
      <c r="B136" s="791" t="s">
        <v>316</v>
      </c>
      <c r="C136" s="883">
        <v>145</v>
      </c>
      <c r="D136" s="2946">
        <v>7419</v>
      </c>
      <c r="E136" s="772"/>
      <c r="F136" s="139"/>
      <c r="G136" s="446"/>
      <c r="H136" s="354"/>
      <c r="I136" s="249"/>
      <c r="J136" s="249"/>
      <c r="K136" s="249"/>
      <c r="L136" s="249"/>
      <c r="M136" s="249"/>
      <c r="N136" s="249"/>
      <c r="O136" s="249"/>
      <c r="P136" s="1553"/>
      <c r="Q136" s="2302"/>
      <c r="R136" s="2303"/>
      <c r="S136" s="2291"/>
      <c r="T136" s="249"/>
      <c r="U136" s="249"/>
      <c r="V136" s="304"/>
    </row>
    <row r="137" spans="1:22" ht="15" customHeight="1" hidden="1">
      <c r="A137" s="116"/>
      <c r="B137" s="791" t="s">
        <v>317</v>
      </c>
      <c r="C137" s="883"/>
      <c r="D137" s="2947"/>
      <c r="E137" s="772"/>
      <c r="F137" s="139"/>
      <c r="G137" s="446"/>
      <c r="H137" s="354"/>
      <c r="I137" s="249"/>
      <c r="J137" s="249"/>
      <c r="K137" s="249"/>
      <c r="L137" s="249"/>
      <c r="M137" s="249"/>
      <c r="N137" s="249"/>
      <c r="O137" s="249"/>
      <c r="P137" s="1553"/>
      <c r="Q137" s="2302"/>
      <c r="R137" s="2303"/>
      <c r="S137" s="2291"/>
      <c r="T137" s="249"/>
      <c r="U137" s="249"/>
      <c r="V137" s="304"/>
    </row>
    <row r="138" spans="1:22" ht="15" customHeight="1" hidden="1">
      <c r="A138" s="116"/>
      <c r="B138" s="791" t="s">
        <v>637</v>
      </c>
      <c r="C138" s="883">
        <v>6023</v>
      </c>
      <c r="D138" s="2422"/>
      <c r="E138" s="772"/>
      <c r="F138" s="139"/>
      <c r="G138" s="446"/>
      <c r="H138" s="354"/>
      <c r="I138" s="249"/>
      <c r="J138" s="249"/>
      <c r="K138" s="249"/>
      <c r="L138" s="249"/>
      <c r="M138" s="249"/>
      <c r="N138" s="249"/>
      <c r="O138" s="249"/>
      <c r="P138" s="1553"/>
      <c r="Q138" s="2302"/>
      <c r="R138" s="2303"/>
      <c r="S138" s="2291"/>
      <c r="T138" s="249"/>
      <c r="U138" s="249"/>
      <c r="V138" s="304"/>
    </row>
    <row r="139" spans="1:22" ht="15" customHeight="1" hidden="1">
      <c r="A139" s="116"/>
      <c r="B139" s="791" t="s">
        <v>638</v>
      </c>
      <c r="C139" s="883">
        <v>1983</v>
      </c>
      <c r="D139" s="2422"/>
      <c r="E139" s="772"/>
      <c r="F139" s="139"/>
      <c r="G139" s="446"/>
      <c r="H139" s="354"/>
      <c r="I139" s="249"/>
      <c r="J139" s="249"/>
      <c r="K139" s="249"/>
      <c r="L139" s="249"/>
      <c r="M139" s="249"/>
      <c r="N139" s="249"/>
      <c r="O139" s="249"/>
      <c r="P139" s="1553"/>
      <c r="Q139" s="2302"/>
      <c r="R139" s="2303"/>
      <c r="S139" s="2291"/>
      <c r="T139" s="249"/>
      <c r="U139" s="249"/>
      <c r="V139" s="304"/>
    </row>
    <row r="140" spans="1:22" ht="15" customHeight="1">
      <c r="A140" s="116"/>
      <c r="B140" s="791" t="s">
        <v>329</v>
      </c>
      <c r="C140" s="883"/>
      <c r="D140" s="2305">
        <v>833</v>
      </c>
      <c r="E140" s="772">
        <v>165000</v>
      </c>
      <c r="F140" s="139">
        <f>(E140*30.126)/1000</f>
        <v>4970.79</v>
      </c>
      <c r="G140" s="446"/>
      <c r="H140" s="354"/>
      <c r="I140" s="249"/>
      <c r="J140" s="249"/>
      <c r="K140" s="249"/>
      <c r="L140" s="249"/>
      <c r="M140" s="249"/>
      <c r="N140" s="249"/>
      <c r="O140" s="249"/>
      <c r="P140" s="1553"/>
      <c r="Q140" s="2302"/>
      <c r="R140" s="2303"/>
      <c r="S140" s="2291"/>
      <c r="T140" s="249"/>
      <c r="U140" s="249"/>
      <c r="V140" s="304"/>
    </row>
    <row r="141" spans="1:22" ht="15" customHeight="1">
      <c r="A141" s="116"/>
      <c r="B141" s="791" t="s">
        <v>68</v>
      </c>
      <c r="C141" s="883"/>
      <c r="D141" s="2305"/>
      <c r="E141" s="772"/>
      <c r="F141" s="139"/>
      <c r="G141" s="446">
        <v>2000</v>
      </c>
      <c r="H141" s="354">
        <f>G141*30.126/1000</f>
        <v>60.252</v>
      </c>
      <c r="I141" s="249">
        <v>2000</v>
      </c>
      <c r="J141" s="249">
        <f>I141*30.126/1000</f>
        <v>60.252</v>
      </c>
      <c r="K141" s="249"/>
      <c r="L141" s="249"/>
      <c r="M141" s="249"/>
      <c r="N141" s="249"/>
      <c r="O141" s="249">
        <v>2000</v>
      </c>
      <c r="P141" s="1553">
        <f>O141*30.126/1000</f>
        <v>60.252</v>
      </c>
      <c r="Q141" s="2302">
        <v>2000</v>
      </c>
      <c r="R141" s="2303">
        <f>Q141*30.126/1000</f>
        <v>60.252</v>
      </c>
      <c r="S141" s="2291"/>
      <c r="T141" s="249"/>
      <c r="U141" s="249"/>
      <c r="V141" s="304"/>
    </row>
    <row r="142" spans="1:22" ht="15" customHeight="1">
      <c r="A142" s="116"/>
      <c r="B142" s="791" t="s">
        <v>69</v>
      </c>
      <c r="C142" s="883"/>
      <c r="D142" s="2305"/>
      <c r="E142" s="772"/>
      <c r="F142" s="139"/>
      <c r="G142" s="446">
        <v>25000</v>
      </c>
      <c r="H142" s="354">
        <f>G142*30.126/1000</f>
        <v>753.15</v>
      </c>
      <c r="I142" s="249">
        <v>25000</v>
      </c>
      <c r="J142" s="249">
        <f>I142*30.126/1000</f>
        <v>753.15</v>
      </c>
      <c r="K142" s="249"/>
      <c r="L142" s="249"/>
      <c r="M142" s="249"/>
      <c r="N142" s="249"/>
      <c r="O142" s="249">
        <v>25000</v>
      </c>
      <c r="P142" s="1553">
        <f>O142*30.126/1000</f>
        <v>753.15</v>
      </c>
      <c r="Q142" s="2302">
        <v>25000</v>
      </c>
      <c r="R142" s="2303">
        <f>Q142*30.126/1000</f>
        <v>753.15</v>
      </c>
      <c r="S142" s="2291"/>
      <c r="T142" s="249"/>
      <c r="U142" s="249"/>
      <c r="V142" s="304"/>
    </row>
    <row r="143" spans="1:22" ht="15" customHeight="1">
      <c r="A143" s="116"/>
      <c r="B143" s="791" t="s">
        <v>330</v>
      </c>
      <c r="C143" s="883"/>
      <c r="D143" s="2305">
        <v>695</v>
      </c>
      <c r="E143" s="772">
        <v>6639</v>
      </c>
      <c r="F143" s="139">
        <f>(E143*30.126)/1000</f>
        <v>200.00651399999998</v>
      </c>
      <c r="G143" s="446"/>
      <c r="H143" s="354"/>
      <c r="I143" s="249"/>
      <c r="J143" s="249"/>
      <c r="K143" s="249"/>
      <c r="L143" s="249"/>
      <c r="M143" s="249"/>
      <c r="N143" s="249"/>
      <c r="O143" s="249"/>
      <c r="P143" s="1553"/>
      <c r="Q143" s="2302"/>
      <c r="R143" s="2303"/>
      <c r="S143" s="2291"/>
      <c r="T143" s="249"/>
      <c r="U143" s="249"/>
      <c r="V143" s="304"/>
    </row>
    <row r="144" spans="1:22" ht="15" customHeight="1" hidden="1">
      <c r="A144" s="116"/>
      <c r="B144" s="789" t="s">
        <v>653</v>
      </c>
      <c r="C144" s="883"/>
      <c r="D144" s="2305"/>
      <c r="E144" s="772"/>
      <c r="F144" s="139"/>
      <c r="G144" s="446"/>
      <c r="H144" s="354"/>
      <c r="I144" s="249"/>
      <c r="J144" s="249"/>
      <c r="K144" s="249"/>
      <c r="L144" s="249"/>
      <c r="M144" s="249"/>
      <c r="N144" s="249"/>
      <c r="O144" s="249"/>
      <c r="P144" s="1553"/>
      <c r="Q144" s="2302"/>
      <c r="R144" s="2303"/>
      <c r="S144" s="2291"/>
      <c r="T144" s="249"/>
      <c r="U144" s="249"/>
      <c r="V144" s="304"/>
    </row>
    <row r="145" spans="1:22" ht="15" customHeight="1" hidden="1">
      <c r="A145" s="152"/>
      <c r="B145" s="903" t="s">
        <v>1015</v>
      </c>
      <c r="C145" s="881">
        <v>300</v>
      </c>
      <c r="D145" s="2566">
        <v>300</v>
      </c>
      <c r="E145" s="772"/>
      <c r="F145" s="139"/>
      <c r="G145" s="446"/>
      <c r="H145" s="354"/>
      <c r="I145" s="249"/>
      <c r="J145" s="249"/>
      <c r="K145" s="249"/>
      <c r="L145" s="249"/>
      <c r="M145" s="249"/>
      <c r="N145" s="249"/>
      <c r="O145" s="249"/>
      <c r="P145" s="1553"/>
      <c r="Q145" s="2302"/>
      <c r="R145" s="2303"/>
      <c r="S145" s="2291"/>
      <c r="T145" s="249"/>
      <c r="U145" s="249"/>
      <c r="V145" s="304"/>
    </row>
    <row r="146" spans="1:22" ht="15" customHeight="1">
      <c r="A146" s="130" t="s">
        <v>504</v>
      </c>
      <c r="B146" s="903" t="s">
        <v>998</v>
      </c>
      <c r="C146" s="881">
        <v>839</v>
      </c>
      <c r="D146" s="2566">
        <v>631</v>
      </c>
      <c r="E146" s="772">
        <v>33194</v>
      </c>
      <c r="F146" s="139">
        <f>(E146*30.126)/1000</f>
        <v>1000.002444</v>
      </c>
      <c r="G146" s="446">
        <v>35000</v>
      </c>
      <c r="H146" s="354">
        <f>G146*30.126/1000</f>
        <v>1054.41</v>
      </c>
      <c r="I146" s="249">
        <v>35000</v>
      </c>
      <c r="J146" s="249">
        <f>I146*30.126/1000</f>
        <v>1054.41</v>
      </c>
      <c r="K146" s="249">
        <v>35000</v>
      </c>
      <c r="L146" s="249">
        <f>K146*30.126/1000</f>
        <v>1054.41</v>
      </c>
      <c r="M146" s="249">
        <v>35000</v>
      </c>
      <c r="N146" s="249">
        <f>M146*30.126/1000</f>
        <v>1054.41</v>
      </c>
      <c r="O146" s="249">
        <v>35000</v>
      </c>
      <c r="P146" s="1553">
        <f>O146*30.126/1000</f>
        <v>1054.41</v>
      </c>
      <c r="Q146" s="2302">
        <v>35000</v>
      </c>
      <c r="R146" s="2303">
        <f>Q146*30.126/1000</f>
        <v>1054.41</v>
      </c>
      <c r="S146" s="2291"/>
      <c r="T146" s="249"/>
      <c r="U146" s="249"/>
      <c r="V146" s="304"/>
    </row>
    <row r="147" spans="1:22" ht="15" customHeight="1">
      <c r="A147" s="130" t="s">
        <v>505</v>
      </c>
      <c r="B147" s="903" t="s">
        <v>1016</v>
      </c>
      <c r="C147" s="783">
        <f>SUM(C148:C174)</f>
        <v>1361</v>
      </c>
      <c r="D147" s="458">
        <f>SUM(D148:D174)</f>
        <v>12442</v>
      </c>
      <c r="E147" s="772">
        <f>SUM(E148:E174)</f>
        <v>331941</v>
      </c>
      <c r="F147" s="139">
        <f>SUM(F148:F174)</f>
        <v>10000.054565999999</v>
      </c>
      <c r="G147" s="446">
        <f aca="true" t="shared" si="36" ref="G147:N147">SUM(G148:G174)</f>
        <v>319000</v>
      </c>
      <c r="H147" s="354">
        <f t="shared" si="36"/>
        <v>9610.194000000001</v>
      </c>
      <c r="I147" s="249">
        <f t="shared" si="36"/>
        <v>319000</v>
      </c>
      <c r="J147" s="249">
        <f t="shared" si="36"/>
        <v>9610.194000000001</v>
      </c>
      <c r="K147" s="249">
        <f t="shared" si="36"/>
        <v>328000</v>
      </c>
      <c r="L147" s="249">
        <f t="shared" si="36"/>
        <v>9881.328000000001</v>
      </c>
      <c r="M147" s="249">
        <f t="shared" si="36"/>
        <v>392000</v>
      </c>
      <c r="N147" s="249">
        <f t="shared" si="36"/>
        <v>11809.392000000002</v>
      </c>
      <c r="O147" s="249">
        <f>SUM(O148:O174)</f>
        <v>319000</v>
      </c>
      <c r="P147" s="1553">
        <f>SUM(P148:P174)</f>
        <v>9610.194000000001</v>
      </c>
      <c r="Q147" s="2302">
        <f>SUM(Q148:Q174)</f>
        <v>319000</v>
      </c>
      <c r="R147" s="2303">
        <f>SUM(R148:R174)</f>
        <v>9610.194000000001</v>
      </c>
      <c r="S147" s="2291"/>
      <c r="T147" s="249"/>
      <c r="U147" s="249"/>
      <c r="V147" s="304"/>
    </row>
    <row r="148" spans="1:22" ht="15" customHeight="1">
      <c r="A148" s="116"/>
      <c r="B148" s="789" t="s">
        <v>1017</v>
      </c>
      <c r="C148" s="883"/>
      <c r="D148" s="2305"/>
      <c r="E148" s="772">
        <v>49791</v>
      </c>
      <c r="F148" s="139">
        <f>(E148*30.126)/1000</f>
        <v>1500.003666</v>
      </c>
      <c r="G148" s="446"/>
      <c r="H148" s="354"/>
      <c r="I148" s="249"/>
      <c r="J148" s="249"/>
      <c r="K148" s="249"/>
      <c r="L148" s="249"/>
      <c r="M148" s="249"/>
      <c r="N148" s="249"/>
      <c r="O148" s="249"/>
      <c r="P148" s="1553"/>
      <c r="Q148" s="2302"/>
      <c r="R148" s="2303"/>
      <c r="S148" s="2291"/>
      <c r="T148" s="249"/>
      <c r="U148" s="249"/>
      <c r="V148" s="304"/>
    </row>
    <row r="149" spans="1:22" ht="15" customHeight="1" hidden="1">
      <c r="A149" s="116"/>
      <c r="B149" s="789" t="s">
        <v>1018</v>
      </c>
      <c r="C149" s="883"/>
      <c r="D149" s="2305">
        <v>1626</v>
      </c>
      <c r="E149" s="772"/>
      <c r="F149" s="139"/>
      <c r="G149" s="446"/>
      <c r="H149" s="354"/>
      <c r="I149" s="249"/>
      <c r="J149" s="249"/>
      <c r="K149" s="249"/>
      <c r="L149" s="249"/>
      <c r="M149" s="249"/>
      <c r="N149" s="249"/>
      <c r="O149" s="249"/>
      <c r="P149" s="1553"/>
      <c r="Q149" s="2302"/>
      <c r="R149" s="2303"/>
      <c r="S149" s="2291"/>
      <c r="T149" s="249"/>
      <c r="U149" s="249"/>
      <c r="V149" s="304"/>
    </row>
    <row r="150" spans="1:22" ht="15" customHeight="1" hidden="1">
      <c r="A150" s="116"/>
      <c r="B150" s="789" t="s">
        <v>1019</v>
      </c>
      <c r="C150" s="883"/>
      <c r="D150" s="2305">
        <v>1555</v>
      </c>
      <c r="E150" s="772"/>
      <c r="F150" s="139"/>
      <c r="G150" s="446"/>
      <c r="H150" s="354"/>
      <c r="I150" s="249"/>
      <c r="J150" s="249"/>
      <c r="K150" s="249"/>
      <c r="L150" s="249"/>
      <c r="M150" s="249"/>
      <c r="N150" s="249"/>
      <c r="O150" s="249"/>
      <c r="P150" s="1553"/>
      <c r="Q150" s="2302"/>
      <c r="R150" s="2303"/>
      <c r="S150" s="2291"/>
      <c r="T150" s="249"/>
      <c r="U150" s="249"/>
      <c r="V150" s="304"/>
    </row>
    <row r="151" spans="1:22" ht="15" customHeight="1">
      <c r="A151" s="116"/>
      <c r="B151" s="789" t="s">
        <v>1020</v>
      </c>
      <c r="C151" s="883"/>
      <c r="D151" s="2305"/>
      <c r="E151" s="772">
        <v>1992</v>
      </c>
      <c r="F151" s="139">
        <f>(E151*30.126)/1000</f>
        <v>60.01099200000001</v>
      </c>
      <c r="G151" s="446"/>
      <c r="H151" s="354"/>
      <c r="I151" s="249"/>
      <c r="J151" s="249"/>
      <c r="K151" s="249"/>
      <c r="L151" s="249"/>
      <c r="M151" s="249"/>
      <c r="N151" s="249"/>
      <c r="O151" s="249"/>
      <c r="P151" s="1553"/>
      <c r="Q151" s="2302"/>
      <c r="R151" s="2303"/>
      <c r="S151" s="2291"/>
      <c r="T151" s="249"/>
      <c r="U151" s="249"/>
      <c r="V151" s="304"/>
    </row>
    <row r="152" spans="1:22" ht="15" customHeight="1">
      <c r="A152" s="116"/>
      <c r="B152" s="789" t="s">
        <v>70</v>
      </c>
      <c r="C152" s="883"/>
      <c r="D152" s="2305"/>
      <c r="E152" s="772"/>
      <c r="F152" s="139"/>
      <c r="G152" s="446">
        <v>49000</v>
      </c>
      <c r="H152" s="354">
        <f>G152*30.126/1000</f>
        <v>1476.174</v>
      </c>
      <c r="I152" s="249">
        <v>49000</v>
      </c>
      <c r="J152" s="249">
        <f>I152*30.126/1000</f>
        <v>1476.174</v>
      </c>
      <c r="K152" s="249"/>
      <c r="L152" s="249"/>
      <c r="M152" s="249"/>
      <c r="N152" s="249"/>
      <c r="O152" s="249">
        <v>49000</v>
      </c>
      <c r="P152" s="1553">
        <f>O152*30.126/1000</f>
        <v>1476.174</v>
      </c>
      <c r="Q152" s="2302">
        <v>49000</v>
      </c>
      <c r="R152" s="2303">
        <f>Q152*30.126/1000</f>
        <v>1476.174</v>
      </c>
      <c r="S152" s="2291"/>
      <c r="T152" s="249"/>
      <c r="U152" s="249"/>
      <c r="V152" s="304"/>
    </row>
    <row r="153" spans="1:22" ht="15" customHeight="1">
      <c r="A153" s="116"/>
      <c r="B153" s="789" t="s">
        <v>1021</v>
      </c>
      <c r="C153" s="883"/>
      <c r="D153" s="2305"/>
      <c r="E153" s="772">
        <v>6639</v>
      </c>
      <c r="F153" s="139">
        <f>(E153*30.126)/1000</f>
        <v>200.00651399999998</v>
      </c>
      <c r="G153" s="446"/>
      <c r="H153" s="354"/>
      <c r="I153" s="249"/>
      <c r="J153" s="249"/>
      <c r="K153" s="249"/>
      <c r="L153" s="249"/>
      <c r="M153" s="249"/>
      <c r="N153" s="249"/>
      <c r="O153" s="249"/>
      <c r="P153" s="1553"/>
      <c r="Q153" s="2302"/>
      <c r="R153" s="2303"/>
      <c r="S153" s="2291"/>
      <c r="T153" s="249"/>
      <c r="U153" s="249"/>
      <c r="V153" s="304"/>
    </row>
    <row r="154" spans="1:22" ht="15" customHeight="1" hidden="1">
      <c r="A154" s="116"/>
      <c r="B154" s="789" t="s">
        <v>1023</v>
      </c>
      <c r="C154" s="883"/>
      <c r="D154" s="2305"/>
      <c r="E154" s="772"/>
      <c r="F154" s="139"/>
      <c r="G154" s="446"/>
      <c r="H154" s="354"/>
      <c r="I154" s="249"/>
      <c r="J154" s="249"/>
      <c r="K154" s="249"/>
      <c r="L154" s="249"/>
      <c r="M154" s="249"/>
      <c r="N154" s="249"/>
      <c r="O154" s="249"/>
      <c r="P154" s="1553"/>
      <c r="Q154" s="2302"/>
      <c r="R154" s="2303"/>
      <c r="S154" s="2291"/>
      <c r="T154" s="249"/>
      <c r="U154" s="249"/>
      <c r="V154" s="304"/>
    </row>
    <row r="155" spans="1:22" ht="15" customHeight="1" hidden="1">
      <c r="A155" s="116"/>
      <c r="B155" s="789" t="s">
        <v>1026</v>
      </c>
      <c r="C155" s="883"/>
      <c r="D155" s="2305">
        <v>1025</v>
      </c>
      <c r="E155" s="772"/>
      <c r="F155" s="139"/>
      <c r="G155" s="446"/>
      <c r="H155" s="354"/>
      <c r="I155" s="249"/>
      <c r="J155" s="249"/>
      <c r="K155" s="249"/>
      <c r="L155" s="249"/>
      <c r="M155" s="249"/>
      <c r="N155" s="249"/>
      <c r="O155" s="249"/>
      <c r="P155" s="1553"/>
      <c r="Q155" s="2302"/>
      <c r="R155" s="2303"/>
      <c r="S155" s="2291"/>
      <c r="T155" s="249"/>
      <c r="U155" s="249"/>
      <c r="V155" s="304"/>
    </row>
    <row r="156" spans="1:22" ht="15" customHeight="1">
      <c r="A156" s="116"/>
      <c r="B156" s="789" t="s">
        <v>1027</v>
      </c>
      <c r="C156" s="883"/>
      <c r="D156" s="2305">
        <v>3770</v>
      </c>
      <c r="E156" s="772">
        <v>199164</v>
      </c>
      <c r="F156" s="139">
        <f>(E156*30.126)/1000</f>
        <v>6000.014664</v>
      </c>
      <c r="G156" s="446">
        <v>120000</v>
      </c>
      <c r="H156" s="354">
        <f>G156*30.126/1000</f>
        <v>3615.12</v>
      </c>
      <c r="I156" s="249">
        <v>120000</v>
      </c>
      <c r="J156" s="249">
        <f>I156*30.126/1000</f>
        <v>3615.12</v>
      </c>
      <c r="K156" s="249"/>
      <c r="L156" s="249"/>
      <c r="M156" s="249"/>
      <c r="N156" s="249"/>
      <c r="O156" s="249">
        <v>120000</v>
      </c>
      <c r="P156" s="1553">
        <f>O156*30.126/1000</f>
        <v>3615.12</v>
      </c>
      <c r="Q156" s="2302">
        <v>120000</v>
      </c>
      <c r="R156" s="2303">
        <f>Q156*30.126/1000</f>
        <v>3615.12</v>
      </c>
      <c r="S156" s="2291"/>
      <c r="T156" s="249"/>
      <c r="U156" s="249"/>
      <c r="V156" s="304"/>
    </row>
    <row r="157" spans="1:22" ht="15" customHeight="1">
      <c r="A157" s="116"/>
      <c r="B157" s="789" t="s">
        <v>71</v>
      </c>
      <c r="C157" s="883"/>
      <c r="D157" s="2305"/>
      <c r="E157" s="772"/>
      <c r="F157" s="139"/>
      <c r="G157" s="446">
        <v>7000</v>
      </c>
      <c r="H157" s="354">
        <f>G157*30.126/1000</f>
        <v>210.882</v>
      </c>
      <c r="I157" s="249">
        <v>7000</v>
      </c>
      <c r="J157" s="249">
        <f>I157*30.126/1000</f>
        <v>210.882</v>
      </c>
      <c r="K157" s="249"/>
      <c r="L157" s="249"/>
      <c r="M157" s="249"/>
      <c r="N157" s="249"/>
      <c r="O157" s="249">
        <v>7000</v>
      </c>
      <c r="P157" s="1553">
        <f>O157*30.126/1000</f>
        <v>210.882</v>
      </c>
      <c r="Q157" s="2302">
        <v>7000</v>
      </c>
      <c r="R157" s="2303">
        <f>Q157*30.126/1000</f>
        <v>210.882</v>
      </c>
      <c r="S157" s="2291"/>
      <c r="T157" s="249"/>
      <c r="U157" s="249"/>
      <c r="V157" s="304"/>
    </row>
    <row r="158" spans="1:22" ht="15" customHeight="1">
      <c r="A158" s="116"/>
      <c r="B158" s="789" t="s">
        <v>1028</v>
      </c>
      <c r="C158" s="883"/>
      <c r="D158" s="2305"/>
      <c r="E158" s="772">
        <v>49791</v>
      </c>
      <c r="F158" s="139">
        <f>(E158*30.126)/1000</f>
        <v>1500.003666</v>
      </c>
      <c r="G158" s="446"/>
      <c r="H158" s="354"/>
      <c r="I158" s="249"/>
      <c r="J158" s="249"/>
      <c r="K158" s="249"/>
      <c r="L158" s="249"/>
      <c r="M158" s="249"/>
      <c r="N158" s="249"/>
      <c r="O158" s="249"/>
      <c r="P158" s="1553"/>
      <c r="Q158" s="2302"/>
      <c r="R158" s="2303"/>
      <c r="S158" s="2291"/>
      <c r="T158" s="249"/>
      <c r="U158" s="249"/>
      <c r="V158" s="304"/>
    </row>
    <row r="159" spans="1:22" ht="15" customHeight="1" hidden="1">
      <c r="A159" s="116"/>
      <c r="B159" s="789" t="s">
        <v>74</v>
      </c>
      <c r="C159" s="883"/>
      <c r="D159" s="2305"/>
      <c r="E159" s="772"/>
      <c r="F159" s="139"/>
      <c r="G159" s="446"/>
      <c r="H159" s="354"/>
      <c r="I159" s="249"/>
      <c r="J159" s="249"/>
      <c r="K159" s="249">
        <v>100000</v>
      </c>
      <c r="L159" s="249">
        <f>K159*30.126/1000</f>
        <v>3012.6</v>
      </c>
      <c r="M159" s="249"/>
      <c r="N159" s="249"/>
      <c r="O159" s="249"/>
      <c r="P159" s="1553"/>
      <c r="Q159" s="2302"/>
      <c r="R159" s="2303"/>
      <c r="S159" s="2291"/>
      <c r="T159" s="249"/>
      <c r="U159" s="249"/>
      <c r="V159" s="304"/>
    </row>
    <row r="160" spans="1:22" ht="15" customHeight="1" hidden="1">
      <c r="A160" s="116"/>
      <c r="B160" s="789" t="s">
        <v>75</v>
      </c>
      <c r="C160" s="883"/>
      <c r="D160" s="2305"/>
      <c r="E160" s="772"/>
      <c r="F160" s="139"/>
      <c r="G160" s="446"/>
      <c r="H160" s="354"/>
      <c r="I160" s="249"/>
      <c r="J160" s="249"/>
      <c r="K160" s="249"/>
      <c r="L160" s="249"/>
      <c r="M160" s="249">
        <v>120000</v>
      </c>
      <c r="N160" s="249">
        <f>M160*30.126/1000</f>
        <v>3615.12</v>
      </c>
      <c r="O160" s="249"/>
      <c r="P160" s="1553"/>
      <c r="Q160" s="2302"/>
      <c r="R160" s="2303"/>
      <c r="S160" s="2291"/>
      <c r="T160" s="249"/>
      <c r="U160" s="249"/>
      <c r="V160" s="304"/>
    </row>
    <row r="161" spans="1:22" ht="15" customHeight="1" hidden="1">
      <c r="A161" s="116"/>
      <c r="B161" s="789" t="s">
        <v>1029</v>
      </c>
      <c r="C161" s="883"/>
      <c r="D161" s="2305">
        <v>3110</v>
      </c>
      <c r="E161" s="772"/>
      <c r="F161" s="139"/>
      <c r="G161" s="446"/>
      <c r="H161" s="354"/>
      <c r="I161" s="249"/>
      <c r="J161" s="249"/>
      <c r="K161" s="249"/>
      <c r="L161" s="249"/>
      <c r="M161" s="249"/>
      <c r="N161" s="249"/>
      <c r="O161" s="249"/>
      <c r="P161" s="1553"/>
      <c r="Q161" s="2302"/>
      <c r="R161" s="2303"/>
      <c r="S161" s="2291"/>
      <c r="T161" s="249"/>
      <c r="U161" s="249"/>
      <c r="V161" s="304"/>
    </row>
    <row r="162" spans="1:22" ht="15" customHeight="1">
      <c r="A162" s="116"/>
      <c r="B162" s="789" t="s">
        <v>1030</v>
      </c>
      <c r="C162" s="883"/>
      <c r="D162" s="2305"/>
      <c r="E162" s="772">
        <v>2656</v>
      </c>
      <c r="F162" s="139">
        <f>(E162*30.126)/1000</f>
        <v>80.014656</v>
      </c>
      <c r="G162" s="446">
        <v>3000</v>
      </c>
      <c r="H162" s="354">
        <f>G162*30.126/1000</f>
        <v>90.378</v>
      </c>
      <c r="I162" s="249">
        <v>3000</v>
      </c>
      <c r="J162" s="249">
        <f>I162*30.126/1000</f>
        <v>90.378</v>
      </c>
      <c r="K162" s="249"/>
      <c r="L162" s="249"/>
      <c r="M162" s="249"/>
      <c r="N162" s="249"/>
      <c r="O162" s="249">
        <v>3000</v>
      </c>
      <c r="P162" s="1553">
        <f>O162*30.126/1000</f>
        <v>90.378</v>
      </c>
      <c r="Q162" s="2302">
        <v>3000</v>
      </c>
      <c r="R162" s="2303">
        <f>Q162*30.126/1000</f>
        <v>90.378</v>
      </c>
      <c r="S162" s="2291"/>
      <c r="T162" s="249"/>
      <c r="U162" s="249"/>
      <c r="V162" s="304"/>
    </row>
    <row r="163" spans="1:22" ht="15" customHeight="1">
      <c r="A163" s="116"/>
      <c r="B163" s="789" t="s">
        <v>72</v>
      </c>
      <c r="C163" s="883"/>
      <c r="D163" s="2305"/>
      <c r="E163" s="772"/>
      <c r="F163" s="139"/>
      <c r="G163" s="446">
        <v>80000</v>
      </c>
      <c r="H163" s="354">
        <f>G163*30.126/1000</f>
        <v>2410.08</v>
      </c>
      <c r="I163" s="249">
        <v>80000</v>
      </c>
      <c r="J163" s="249">
        <f>I163*30.126/1000</f>
        <v>2410.08</v>
      </c>
      <c r="K163" s="249"/>
      <c r="L163" s="249"/>
      <c r="M163" s="249"/>
      <c r="N163" s="249"/>
      <c r="O163" s="249">
        <v>80000</v>
      </c>
      <c r="P163" s="1553">
        <f>O163*30.126/1000</f>
        <v>2410.08</v>
      </c>
      <c r="Q163" s="2302">
        <v>80000</v>
      </c>
      <c r="R163" s="2303">
        <f>Q163*30.126/1000</f>
        <v>2410.08</v>
      </c>
      <c r="S163" s="2291"/>
      <c r="T163" s="249"/>
      <c r="U163" s="249"/>
      <c r="V163" s="304"/>
    </row>
    <row r="164" spans="1:22" ht="15" customHeight="1" hidden="1">
      <c r="A164" s="116"/>
      <c r="B164" s="789" t="s">
        <v>73</v>
      </c>
      <c r="C164" s="883"/>
      <c r="D164" s="2305"/>
      <c r="E164" s="772"/>
      <c r="F164" s="139"/>
      <c r="G164" s="446"/>
      <c r="H164" s="354"/>
      <c r="I164" s="249"/>
      <c r="J164" s="249"/>
      <c r="K164" s="249">
        <v>100000</v>
      </c>
      <c r="L164" s="249">
        <f>K164*30.126/1000</f>
        <v>3012.6</v>
      </c>
      <c r="M164" s="249"/>
      <c r="N164" s="249"/>
      <c r="O164" s="249"/>
      <c r="P164" s="1553"/>
      <c r="Q164" s="2302"/>
      <c r="R164" s="2303"/>
      <c r="S164" s="2291"/>
      <c r="T164" s="249"/>
      <c r="U164" s="249"/>
      <c r="V164" s="304"/>
    </row>
    <row r="165" spans="1:22" ht="15" customHeight="1">
      <c r="A165" s="116"/>
      <c r="B165" s="789" t="s">
        <v>76</v>
      </c>
      <c r="C165" s="883"/>
      <c r="D165" s="2305"/>
      <c r="E165" s="772"/>
      <c r="F165" s="139"/>
      <c r="G165" s="446">
        <v>35000</v>
      </c>
      <c r="H165" s="354">
        <f>G165*30.126/1000</f>
        <v>1054.41</v>
      </c>
      <c r="I165" s="249">
        <v>35000</v>
      </c>
      <c r="J165" s="249">
        <f>I165*30.126/1000</f>
        <v>1054.41</v>
      </c>
      <c r="K165" s="249"/>
      <c r="L165" s="249"/>
      <c r="M165" s="249"/>
      <c r="N165" s="249"/>
      <c r="O165" s="249">
        <v>35000</v>
      </c>
      <c r="P165" s="1553">
        <f>O165*30.126/1000</f>
        <v>1054.41</v>
      </c>
      <c r="Q165" s="2302">
        <v>35000</v>
      </c>
      <c r="R165" s="2303">
        <f>Q165*30.126/1000</f>
        <v>1054.41</v>
      </c>
      <c r="S165" s="2291"/>
      <c r="T165" s="249"/>
      <c r="U165" s="249"/>
      <c r="V165" s="304"/>
    </row>
    <row r="166" spans="1:22" ht="15" customHeight="1" hidden="1">
      <c r="A166" s="116"/>
      <c r="B166" s="789" t="s">
        <v>77</v>
      </c>
      <c r="C166" s="883"/>
      <c r="D166" s="2305">
        <v>337</v>
      </c>
      <c r="E166" s="772"/>
      <c r="F166" s="139"/>
      <c r="G166" s="446"/>
      <c r="H166" s="354"/>
      <c r="I166" s="249"/>
      <c r="J166" s="249"/>
      <c r="K166" s="249"/>
      <c r="L166" s="249"/>
      <c r="M166" s="249">
        <v>30000</v>
      </c>
      <c r="N166" s="249">
        <f aca="true" t="shared" si="37" ref="N166:N172">M166*30.126/1000</f>
        <v>903.78</v>
      </c>
      <c r="O166" s="249"/>
      <c r="P166" s="1553"/>
      <c r="Q166" s="2302"/>
      <c r="R166" s="2303"/>
      <c r="S166" s="2291"/>
      <c r="T166" s="249"/>
      <c r="U166" s="249"/>
      <c r="V166" s="304"/>
    </row>
    <row r="167" spans="1:22" ht="15" customHeight="1" hidden="1">
      <c r="A167" s="116"/>
      <c r="B167" s="789" t="s">
        <v>78</v>
      </c>
      <c r="C167" s="883"/>
      <c r="D167" s="2305"/>
      <c r="E167" s="772"/>
      <c r="F167" s="139"/>
      <c r="G167" s="446"/>
      <c r="H167" s="354"/>
      <c r="I167" s="249"/>
      <c r="J167" s="249"/>
      <c r="K167" s="249">
        <v>33000</v>
      </c>
      <c r="L167" s="249">
        <f>K167*30.126/1000</f>
        <v>994.158</v>
      </c>
      <c r="M167" s="249"/>
      <c r="N167" s="249"/>
      <c r="O167" s="249"/>
      <c r="P167" s="1553"/>
      <c r="Q167" s="2302"/>
      <c r="R167" s="2303"/>
      <c r="S167" s="2291"/>
      <c r="T167" s="249"/>
      <c r="U167" s="249"/>
      <c r="V167" s="304"/>
    </row>
    <row r="168" spans="1:22" ht="15" customHeight="1" hidden="1">
      <c r="A168" s="116"/>
      <c r="B168" s="789" t="s">
        <v>80</v>
      </c>
      <c r="C168" s="883"/>
      <c r="D168" s="2305"/>
      <c r="E168" s="772"/>
      <c r="F168" s="139"/>
      <c r="G168" s="446"/>
      <c r="H168" s="354"/>
      <c r="I168" s="249"/>
      <c r="J168" s="249"/>
      <c r="K168" s="249">
        <v>70000</v>
      </c>
      <c r="L168" s="249">
        <f>K168*30.126/1000</f>
        <v>2108.82</v>
      </c>
      <c r="M168" s="249"/>
      <c r="N168" s="249"/>
      <c r="O168" s="249"/>
      <c r="P168" s="1553"/>
      <c r="Q168" s="2302"/>
      <c r="R168" s="2303"/>
      <c r="S168" s="2291"/>
      <c r="T168" s="249"/>
      <c r="U168" s="249"/>
      <c r="V168" s="304"/>
    </row>
    <row r="169" spans="1:22" ht="15" customHeight="1" hidden="1">
      <c r="A169" s="116"/>
      <c r="B169" s="789" t="s">
        <v>81</v>
      </c>
      <c r="C169" s="883"/>
      <c r="D169" s="2305"/>
      <c r="E169" s="772"/>
      <c r="F169" s="139"/>
      <c r="G169" s="446"/>
      <c r="H169" s="354"/>
      <c r="I169" s="249"/>
      <c r="J169" s="249"/>
      <c r="K169" s="249"/>
      <c r="L169" s="249"/>
      <c r="M169" s="249">
        <v>60000</v>
      </c>
      <c r="N169" s="249">
        <f t="shared" si="37"/>
        <v>1807.56</v>
      </c>
      <c r="O169" s="249"/>
      <c r="P169" s="1553"/>
      <c r="Q169" s="2302"/>
      <c r="R169" s="2303"/>
      <c r="S169" s="2291"/>
      <c r="T169" s="249"/>
      <c r="U169" s="249"/>
      <c r="V169" s="304"/>
    </row>
    <row r="170" spans="1:22" ht="15" customHeight="1" hidden="1">
      <c r="A170" s="116"/>
      <c r="B170" s="789" t="s">
        <v>79</v>
      </c>
      <c r="C170" s="883"/>
      <c r="D170" s="2305"/>
      <c r="E170" s="772"/>
      <c r="F170" s="139"/>
      <c r="G170" s="446"/>
      <c r="H170" s="354"/>
      <c r="I170" s="249"/>
      <c r="J170" s="249"/>
      <c r="K170" s="249"/>
      <c r="L170" s="249"/>
      <c r="M170" s="249">
        <v>77000</v>
      </c>
      <c r="N170" s="249">
        <f t="shared" si="37"/>
        <v>2319.702</v>
      </c>
      <c r="O170" s="249"/>
      <c r="P170" s="1553"/>
      <c r="Q170" s="2302"/>
      <c r="R170" s="2303"/>
      <c r="S170" s="2291"/>
      <c r="T170" s="249"/>
      <c r="U170" s="249"/>
      <c r="V170" s="304"/>
    </row>
    <row r="171" spans="1:22" ht="15" customHeight="1" hidden="1">
      <c r="A171" s="116"/>
      <c r="B171" s="789" t="s">
        <v>82</v>
      </c>
      <c r="C171" s="883"/>
      <c r="D171" s="2305"/>
      <c r="E171" s="772"/>
      <c r="F171" s="139"/>
      <c r="G171" s="446"/>
      <c r="H171" s="354"/>
      <c r="I171" s="249"/>
      <c r="J171" s="249"/>
      <c r="K171" s="249"/>
      <c r="L171" s="249"/>
      <c r="M171" s="249">
        <v>80000</v>
      </c>
      <c r="N171" s="249">
        <f t="shared" si="37"/>
        <v>2410.08</v>
      </c>
      <c r="O171" s="249"/>
      <c r="P171" s="1553"/>
      <c r="Q171" s="2302"/>
      <c r="R171" s="2303"/>
      <c r="S171" s="2291"/>
      <c r="T171" s="249"/>
      <c r="U171" s="249"/>
      <c r="V171" s="304"/>
    </row>
    <row r="172" spans="1:22" ht="15" customHeight="1">
      <c r="A172" s="116"/>
      <c r="B172" s="789" t="s">
        <v>1024</v>
      </c>
      <c r="C172" s="883"/>
      <c r="D172" s="2305">
        <v>355</v>
      </c>
      <c r="E172" s="772"/>
      <c r="F172" s="139"/>
      <c r="G172" s="446">
        <v>3000</v>
      </c>
      <c r="H172" s="354">
        <f>G172*30.126/1000</f>
        <v>90.378</v>
      </c>
      <c r="I172" s="249">
        <v>3000</v>
      </c>
      <c r="J172" s="249">
        <f>I172*30.126/1000</f>
        <v>90.378</v>
      </c>
      <c r="K172" s="249">
        <v>3000</v>
      </c>
      <c r="L172" s="249">
        <f>K172*30.126/1000</f>
        <v>90.378</v>
      </c>
      <c r="M172" s="249">
        <v>3000</v>
      </c>
      <c r="N172" s="249">
        <f t="shared" si="37"/>
        <v>90.378</v>
      </c>
      <c r="O172" s="249">
        <v>3000</v>
      </c>
      <c r="P172" s="1553">
        <f>O172*30.126/1000</f>
        <v>90.378</v>
      </c>
      <c r="Q172" s="2302">
        <v>3000</v>
      </c>
      <c r="R172" s="2303">
        <f>Q172*30.126/1000</f>
        <v>90.378</v>
      </c>
      <c r="S172" s="2291"/>
      <c r="T172" s="249"/>
      <c r="U172" s="249"/>
      <c r="V172" s="304"/>
    </row>
    <row r="173" spans="1:22" ht="15" customHeight="1" hidden="1">
      <c r="A173" s="116"/>
      <c r="B173" s="789" t="s">
        <v>1025</v>
      </c>
      <c r="C173" s="883"/>
      <c r="D173" s="2305">
        <v>223</v>
      </c>
      <c r="E173" s="772"/>
      <c r="F173" s="139"/>
      <c r="G173" s="446"/>
      <c r="H173" s="354"/>
      <c r="I173" s="249"/>
      <c r="J173" s="249"/>
      <c r="K173" s="249"/>
      <c r="L173" s="249"/>
      <c r="M173" s="249"/>
      <c r="N173" s="249"/>
      <c r="O173" s="249"/>
      <c r="P173" s="1553"/>
      <c r="Q173" s="2302"/>
      <c r="R173" s="2303"/>
      <c r="S173" s="2291"/>
      <c r="T173" s="249"/>
      <c r="U173" s="249"/>
      <c r="V173" s="304"/>
    </row>
    <row r="174" spans="1:22" ht="15" customHeight="1">
      <c r="A174" s="116"/>
      <c r="B174" s="789" t="s">
        <v>1031</v>
      </c>
      <c r="C174" s="883">
        <f>651+660+15+35</f>
        <v>1361</v>
      </c>
      <c r="D174" s="2305">
        <v>441</v>
      </c>
      <c r="E174" s="772">
        <v>21908</v>
      </c>
      <c r="F174" s="139">
        <f>(E174*30.126)/1000</f>
        <v>660.0004080000001</v>
      </c>
      <c r="G174" s="446">
        <v>22000</v>
      </c>
      <c r="H174" s="354">
        <f>G174*30.126/1000</f>
        <v>662.772</v>
      </c>
      <c r="I174" s="249">
        <v>22000</v>
      </c>
      <c r="J174" s="249">
        <f>I174*30.126/1000</f>
        <v>662.772</v>
      </c>
      <c r="K174" s="249">
        <v>22000</v>
      </c>
      <c r="L174" s="249">
        <f>K174*30.126/1000</f>
        <v>662.772</v>
      </c>
      <c r="M174" s="249">
        <v>22000</v>
      </c>
      <c r="N174" s="249">
        <f>M174*30.126/1000</f>
        <v>662.772</v>
      </c>
      <c r="O174" s="249">
        <v>22000</v>
      </c>
      <c r="P174" s="1553">
        <f>O174*30.126/1000</f>
        <v>662.772</v>
      </c>
      <c r="Q174" s="2302">
        <v>22000</v>
      </c>
      <c r="R174" s="2303">
        <f>Q174*30.126/1000</f>
        <v>662.772</v>
      </c>
      <c r="S174" s="2291"/>
      <c r="T174" s="249"/>
      <c r="U174" s="249"/>
      <c r="V174" s="304"/>
    </row>
    <row r="175" spans="1:22" ht="15" customHeight="1">
      <c r="A175" s="130" t="s">
        <v>133</v>
      </c>
      <c r="B175" s="904" t="s">
        <v>134</v>
      </c>
      <c r="C175" s="883"/>
      <c r="D175" s="2305"/>
      <c r="E175" s="772">
        <v>10000</v>
      </c>
      <c r="F175" s="139">
        <f>(E175*30.126)/1000</f>
        <v>301.26</v>
      </c>
      <c r="G175" s="446"/>
      <c r="H175" s="354"/>
      <c r="I175" s="249"/>
      <c r="J175" s="249"/>
      <c r="K175" s="249"/>
      <c r="L175" s="249"/>
      <c r="M175" s="249"/>
      <c r="N175" s="249"/>
      <c r="O175" s="249"/>
      <c r="P175" s="1553"/>
      <c r="Q175" s="2302"/>
      <c r="R175" s="2303"/>
      <c r="S175" s="2291"/>
      <c r="T175" s="249"/>
      <c r="U175" s="249"/>
      <c r="V175" s="304"/>
    </row>
    <row r="176" spans="1:22" ht="15" customHeight="1" hidden="1">
      <c r="A176" s="130" t="s">
        <v>94</v>
      </c>
      <c r="B176" s="904" t="s">
        <v>1001</v>
      </c>
      <c r="C176" s="883"/>
      <c r="D176" s="2305">
        <v>1037</v>
      </c>
      <c r="E176" s="2372"/>
      <c r="F176" s="2373"/>
      <c r="G176" s="446"/>
      <c r="H176" s="354"/>
      <c r="I176" s="249"/>
      <c r="J176" s="249"/>
      <c r="K176" s="249"/>
      <c r="L176" s="249"/>
      <c r="M176" s="249"/>
      <c r="N176" s="249"/>
      <c r="O176" s="249"/>
      <c r="P176" s="1553"/>
      <c r="Q176" s="2302"/>
      <c r="R176" s="2303"/>
      <c r="S176" s="2291"/>
      <c r="T176" s="249"/>
      <c r="U176" s="249"/>
      <c r="V176" s="304"/>
    </row>
    <row r="177" spans="1:22" ht="15" customHeight="1" hidden="1">
      <c r="A177" s="130" t="s">
        <v>95</v>
      </c>
      <c r="B177" s="904" t="s">
        <v>923</v>
      </c>
      <c r="C177" s="883"/>
      <c r="D177" s="2305">
        <v>2972</v>
      </c>
      <c r="E177" s="2372"/>
      <c r="F177" s="2373"/>
      <c r="G177" s="446"/>
      <c r="H177" s="354"/>
      <c r="I177" s="249"/>
      <c r="J177" s="249"/>
      <c r="K177" s="249"/>
      <c r="L177" s="249"/>
      <c r="M177" s="249"/>
      <c r="N177" s="249"/>
      <c r="O177" s="249"/>
      <c r="P177" s="1553"/>
      <c r="Q177" s="2302"/>
      <c r="R177" s="2303"/>
      <c r="S177" s="2291"/>
      <c r="T177" s="249"/>
      <c r="U177" s="249"/>
      <c r="V177" s="304"/>
    </row>
    <row r="178" spans="1:22" ht="15" customHeight="1" hidden="1">
      <c r="A178" s="130" t="s">
        <v>96</v>
      </c>
      <c r="B178" s="905" t="s">
        <v>1000</v>
      </c>
      <c r="C178" s="886">
        <v>364</v>
      </c>
      <c r="D178" s="2569">
        <v>100</v>
      </c>
      <c r="E178" s="2372"/>
      <c r="F178" s="2373"/>
      <c r="G178" s="446"/>
      <c r="H178" s="354"/>
      <c r="I178" s="249"/>
      <c r="J178" s="249"/>
      <c r="K178" s="249"/>
      <c r="L178" s="249"/>
      <c r="M178" s="249"/>
      <c r="N178" s="249"/>
      <c r="O178" s="249"/>
      <c r="P178" s="1553"/>
      <c r="Q178" s="2302"/>
      <c r="R178" s="2303"/>
      <c r="S178" s="2291"/>
      <c r="T178" s="249"/>
      <c r="U178" s="249"/>
      <c r="V178" s="304"/>
    </row>
    <row r="179" spans="1:22" ht="15" customHeight="1" hidden="1">
      <c r="A179" s="130" t="s">
        <v>97</v>
      </c>
      <c r="B179" s="898" t="s">
        <v>338</v>
      </c>
      <c r="C179" s="887"/>
      <c r="D179" s="2308"/>
      <c r="E179" s="2558"/>
      <c r="F179" s="2373"/>
      <c r="G179" s="611"/>
      <c r="H179" s="660"/>
      <c r="I179" s="249"/>
      <c r="J179" s="312"/>
      <c r="K179" s="312"/>
      <c r="L179" s="312"/>
      <c r="M179" s="249"/>
      <c r="N179" s="312"/>
      <c r="O179" s="249"/>
      <c r="P179" s="1558"/>
      <c r="Q179" s="2302"/>
      <c r="R179" s="2404"/>
      <c r="S179" s="2291"/>
      <c r="T179" s="312"/>
      <c r="U179" s="249"/>
      <c r="V179" s="313"/>
    </row>
    <row r="180" spans="1:22" ht="15" customHeight="1" hidden="1">
      <c r="A180" s="130" t="s">
        <v>339</v>
      </c>
      <c r="B180" s="906" t="s">
        <v>982</v>
      </c>
      <c r="C180" s="888"/>
      <c r="D180" s="2570"/>
      <c r="E180" s="2558"/>
      <c r="F180" s="2559"/>
      <c r="G180" s="611"/>
      <c r="H180" s="660"/>
      <c r="I180" s="312"/>
      <c r="J180" s="312"/>
      <c r="K180" s="312"/>
      <c r="L180" s="312"/>
      <c r="M180" s="312"/>
      <c r="N180" s="312"/>
      <c r="O180" s="312"/>
      <c r="P180" s="1558"/>
      <c r="Q180" s="2403"/>
      <c r="R180" s="2404"/>
      <c r="S180" s="2385"/>
      <c r="T180" s="312"/>
      <c r="U180" s="312"/>
      <c r="V180" s="313"/>
    </row>
    <row r="181" spans="1:22" ht="15" customHeight="1" hidden="1">
      <c r="A181" s="130"/>
      <c r="B181" s="906" t="s">
        <v>636</v>
      </c>
      <c r="C181" s="888"/>
      <c r="D181" s="2570"/>
      <c r="E181" s="2558"/>
      <c r="F181" s="2559"/>
      <c r="G181" s="611"/>
      <c r="H181" s="660"/>
      <c r="I181" s="312"/>
      <c r="J181" s="312"/>
      <c r="K181" s="312"/>
      <c r="L181" s="312"/>
      <c r="M181" s="312"/>
      <c r="N181" s="312"/>
      <c r="O181" s="312"/>
      <c r="P181" s="1558"/>
      <c r="Q181" s="2403"/>
      <c r="R181" s="2404"/>
      <c r="S181" s="2385"/>
      <c r="T181" s="312"/>
      <c r="U181" s="312"/>
      <c r="V181" s="313"/>
    </row>
    <row r="182" spans="1:22" ht="15" customHeight="1" hidden="1">
      <c r="A182" s="130"/>
      <c r="B182" s="906" t="s">
        <v>591</v>
      </c>
      <c r="C182" s="888"/>
      <c r="D182" s="2570"/>
      <c r="E182" s="2558"/>
      <c r="F182" s="2559"/>
      <c r="G182" s="611"/>
      <c r="H182" s="660"/>
      <c r="I182" s="312"/>
      <c r="J182" s="312"/>
      <c r="K182" s="312"/>
      <c r="L182" s="312"/>
      <c r="M182" s="312"/>
      <c r="N182" s="312"/>
      <c r="O182" s="312"/>
      <c r="P182" s="1558"/>
      <c r="Q182" s="2403"/>
      <c r="R182" s="2404"/>
      <c r="S182" s="2385"/>
      <c r="T182" s="312"/>
      <c r="U182" s="312"/>
      <c r="V182" s="313"/>
    </row>
    <row r="183" spans="1:22" ht="15" customHeight="1" hidden="1">
      <c r="A183" s="130"/>
      <c r="B183" s="906" t="s">
        <v>592</v>
      </c>
      <c r="C183" s="888"/>
      <c r="D183" s="2570"/>
      <c r="E183" s="2558"/>
      <c r="F183" s="2559"/>
      <c r="G183" s="611"/>
      <c r="H183" s="660"/>
      <c r="I183" s="312"/>
      <c r="J183" s="312"/>
      <c r="K183" s="312"/>
      <c r="L183" s="312"/>
      <c r="M183" s="312"/>
      <c r="N183" s="312"/>
      <c r="O183" s="312"/>
      <c r="P183" s="1558"/>
      <c r="Q183" s="2403"/>
      <c r="R183" s="2404"/>
      <c r="S183" s="2385"/>
      <c r="T183" s="312"/>
      <c r="U183" s="312"/>
      <c r="V183" s="313"/>
    </row>
    <row r="184" spans="1:22" s="30" customFormat="1" ht="19.5" customHeight="1">
      <c r="A184" s="111" t="s">
        <v>997</v>
      </c>
      <c r="B184" s="786" t="s">
        <v>1005</v>
      </c>
      <c r="C184" s="779">
        <f>C185</f>
        <v>1778</v>
      </c>
      <c r="D184" s="455">
        <f>D185</f>
        <v>2145</v>
      </c>
      <c r="E184" s="769">
        <f>E185</f>
        <v>75019</v>
      </c>
      <c r="F184" s="479">
        <f>F185</f>
        <v>2260.0223939999996</v>
      </c>
      <c r="G184" s="913">
        <f aca="true" t="shared" si="38" ref="G184:V184">G185</f>
        <v>93489</v>
      </c>
      <c r="H184" s="875">
        <f t="shared" si="38"/>
        <v>2816.4496139999997</v>
      </c>
      <c r="I184" s="244">
        <f t="shared" si="38"/>
        <v>93489</v>
      </c>
      <c r="J184" s="244">
        <f t="shared" si="38"/>
        <v>2816.4496139999997</v>
      </c>
      <c r="K184" s="244">
        <f t="shared" si="38"/>
        <v>97589</v>
      </c>
      <c r="L184" s="244">
        <f t="shared" si="38"/>
        <v>2939.966214</v>
      </c>
      <c r="M184" s="244">
        <f t="shared" si="38"/>
        <v>99889</v>
      </c>
      <c r="N184" s="244">
        <f t="shared" si="38"/>
        <v>3009.256014</v>
      </c>
      <c r="O184" s="244">
        <f t="shared" si="38"/>
        <v>93489</v>
      </c>
      <c r="P184" s="1549">
        <f t="shared" si="38"/>
        <v>2816.4496139999997</v>
      </c>
      <c r="Q184" s="2626">
        <f t="shared" si="38"/>
        <v>93489</v>
      </c>
      <c r="R184" s="2627">
        <f t="shared" si="38"/>
        <v>2816.4496139999997</v>
      </c>
      <c r="S184" s="2484">
        <f t="shared" si="38"/>
        <v>93489</v>
      </c>
      <c r="T184" s="244">
        <f t="shared" si="38"/>
        <v>2816.449614</v>
      </c>
      <c r="U184" s="244">
        <f t="shared" si="38"/>
        <v>93489</v>
      </c>
      <c r="V184" s="254">
        <f t="shared" si="38"/>
        <v>2816.449614</v>
      </c>
    </row>
    <row r="185" spans="1:22" s="24" customFormat="1" ht="19.5" customHeight="1">
      <c r="A185" s="112" t="s">
        <v>1103</v>
      </c>
      <c r="B185" s="787" t="s">
        <v>965</v>
      </c>
      <c r="C185" s="780">
        <f>SUM(C186:C197)</f>
        <v>1778</v>
      </c>
      <c r="D185" s="456">
        <f>SUM(D186:D197)</f>
        <v>2145</v>
      </c>
      <c r="E185" s="770">
        <f>SUM(E186:E197)</f>
        <v>75019</v>
      </c>
      <c r="F185" s="480">
        <f>SUM(F186:F197)</f>
        <v>2260.0223939999996</v>
      </c>
      <c r="G185" s="464">
        <f aca="true" t="shared" si="39" ref="G185:N185">SUM(G186:G197)</f>
        <v>93489</v>
      </c>
      <c r="H185" s="245">
        <f t="shared" si="39"/>
        <v>2816.4496139999997</v>
      </c>
      <c r="I185" s="246">
        <f t="shared" si="39"/>
        <v>93489</v>
      </c>
      <c r="J185" s="246">
        <f t="shared" si="39"/>
        <v>2816.4496139999997</v>
      </c>
      <c r="K185" s="246">
        <f t="shared" si="39"/>
        <v>97589</v>
      </c>
      <c r="L185" s="246">
        <f t="shared" si="39"/>
        <v>2939.966214</v>
      </c>
      <c r="M185" s="246">
        <f t="shared" si="39"/>
        <v>99889</v>
      </c>
      <c r="N185" s="246">
        <f t="shared" si="39"/>
        <v>3009.256014</v>
      </c>
      <c r="O185" s="246">
        <f>SUM(O186:O197)</f>
        <v>93489</v>
      </c>
      <c r="P185" s="1550">
        <f>SUM(P186:P197)</f>
        <v>2816.4496139999997</v>
      </c>
      <c r="Q185" s="2400">
        <f>SUM(Q186:Q197)</f>
        <v>93489</v>
      </c>
      <c r="R185" s="972">
        <f>SUM(R186:R197)</f>
        <v>2816.4496139999997</v>
      </c>
      <c r="S185" s="2383">
        <v>93489</v>
      </c>
      <c r="T185" s="246">
        <f>S185*30.126/1000</f>
        <v>2816.449614</v>
      </c>
      <c r="U185" s="246">
        <v>93489</v>
      </c>
      <c r="V185" s="255">
        <f>U185*30.126/1000</f>
        <v>2816.449614</v>
      </c>
    </row>
    <row r="186" spans="1:22" ht="15" customHeight="1">
      <c r="A186" s="131"/>
      <c r="B186" s="897" t="s">
        <v>991</v>
      </c>
      <c r="C186" s="880">
        <v>301</v>
      </c>
      <c r="D186" s="2565">
        <v>515</v>
      </c>
      <c r="E186" s="2370">
        <v>13278</v>
      </c>
      <c r="F186" s="2480">
        <f>(E186*30.126)/1000</f>
        <v>400.01302799999996</v>
      </c>
      <c r="G186" s="610">
        <v>13278</v>
      </c>
      <c r="H186" s="625">
        <f>G186*30.126/1000</f>
        <v>400.01302799999996</v>
      </c>
      <c r="I186" s="247">
        <v>13278</v>
      </c>
      <c r="J186" s="247">
        <f>I186*30.126/1000</f>
        <v>400.01302799999996</v>
      </c>
      <c r="K186" s="247">
        <v>13278</v>
      </c>
      <c r="L186" s="247">
        <f>K186*30.126/1000</f>
        <v>400.01302799999996</v>
      </c>
      <c r="M186" s="247">
        <v>13278</v>
      </c>
      <c r="N186" s="247">
        <f>M186*30.126/1000</f>
        <v>400.01302799999996</v>
      </c>
      <c r="O186" s="247">
        <v>13278</v>
      </c>
      <c r="P186" s="1790">
        <f>O186*30.126/1000</f>
        <v>400.01302799999996</v>
      </c>
      <c r="Q186" s="2398">
        <v>13278</v>
      </c>
      <c r="R186" s="2399">
        <f>Q186*30.126/1000</f>
        <v>400.01302799999996</v>
      </c>
      <c r="S186" s="2382"/>
      <c r="T186" s="247"/>
      <c r="U186" s="247"/>
      <c r="V186" s="331"/>
    </row>
    <row r="187" spans="1:22" ht="15" customHeight="1">
      <c r="A187" s="131"/>
      <c r="B187" s="907" t="s">
        <v>986</v>
      </c>
      <c r="C187" s="889">
        <v>185</v>
      </c>
      <c r="D187" s="1765">
        <v>278</v>
      </c>
      <c r="E187" s="772">
        <v>8298</v>
      </c>
      <c r="F187" s="2480">
        <f aca="true" t="shared" si="40" ref="F187:F197">(E187*30.126)/1000</f>
        <v>249.98554800000002</v>
      </c>
      <c r="G187" s="446">
        <v>6638</v>
      </c>
      <c r="H187" s="625">
        <f aca="true" t="shared" si="41" ref="H187:H197">G187*30.126/1000</f>
        <v>199.97638800000001</v>
      </c>
      <c r="I187" s="249">
        <v>6638</v>
      </c>
      <c r="J187" s="247">
        <f aca="true" t="shared" si="42" ref="J187:J197">I187*30.126/1000</f>
        <v>199.97638800000001</v>
      </c>
      <c r="K187" s="249">
        <v>6638</v>
      </c>
      <c r="L187" s="247">
        <f aca="true" t="shared" si="43" ref="L187:L197">K187*30.126/1000</f>
        <v>199.97638800000001</v>
      </c>
      <c r="M187" s="249">
        <v>6638</v>
      </c>
      <c r="N187" s="247">
        <f aca="true" t="shared" si="44" ref="N187:N197">M187*30.126/1000</f>
        <v>199.97638800000001</v>
      </c>
      <c r="O187" s="249">
        <v>6638</v>
      </c>
      <c r="P187" s="1790">
        <f aca="true" t="shared" si="45" ref="P187:R197">O187*30.126/1000</f>
        <v>199.97638800000001</v>
      </c>
      <c r="Q187" s="2302">
        <v>6638</v>
      </c>
      <c r="R187" s="2399">
        <f t="shared" si="45"/>
        <v>199.97638800000001</v>
      </c>
      <c r="S187" s="2291"/>
      <c r="T187" s="247"/>
      <c r="U187" s="249"/>
      <c r="V187" s="331"/>
    </row>
    <row r="188" spans="1:22" ht="15" customHeight="1">
      <c r="A188" s="131"/>
      <c r="B188" s="907" t="s">
        <v>987</v>
      </c>
      <c r="C188" s="889">
        <v>196</v>
      </c>
      <c r="D188" s="1765">
        <v>290</v>
      </c>
      <c r="E188" s="772">
        <v>19916</v>
      </c>
      <c r="F188" s="2480">
        <f t="shared" si="40"/>
        <v>599.989416</v>
      </c>
      <c r="G188" s="446">
        <v>19916</v>
      </c>
      <c r="H188" s="625">
        <f t="shared" si="41"/>
        <v>599.989416</v>
      </c>
      <c r="I188" s="249">
        <v>19916</v>
      </c>
      <c r="J188" s="247">
        <f t="shared" si="42"/>
        <v>599.989416</v>
      </c>
      <c r="K188" s="249">
        <v>19916</v>
      </c>
      <c r="L188" s="247">
        <f t="shared" si="43"/>
        <v>599.989416</v>
      </c>
      <c r="M188" s="249">
        <v>19916</v>
      </c>
      <c r="N188" s="247">
        <f t="shared" si="44"/>
        <v>599.989416</v>
      </c>
      <c r="O188" s="249">
        <v>19916</v>
      </c>
      <c r="P188" s="1790">
        <f t="shared" si="45"/>
        <v>599.989416</v>
      </c>
      <c r="Q188" s="2302">
        <v>19916</v>
      </c>
      <c r="R188" s="2399">
        <f t="shared" si="45"/>
        <v>599.989416</v>
      </c>
      <c r="S188" s="2291"/>
      <c r="T188" s="247"/>
      <c r="U188" s="249"/>
      <c r="V188" s="331"/>
    </row>
    <row r="189" spans="1:22" ht="15" customHeight="1">
      <c r="A189" s="131"/>
      <c r="B189" s="908" t="s">
        <v>993</v>
      </c>
      <c r="C189" s="890">
        <v>100</v>
      </c>
      <c r="D189" s="2571">
        <v>90</v>
      </c>
      <c r="E189" s="772"/>
      <c r="F189" s="2480"/>
      <c r="G189" s="446">
        <v>3300</v>
      </c>
      <c r="H189" s="625">
        <f t="shared" si="41"/>
        <v>99.4158</v>
      </c>
      <c r="I189" s="249">
        <v>3300</v>
      </c>
      <c r="J189" s="247">
        <f t="shared" si="42"/>
        <v>99.4158</v>
      </c>
      <c r="K189" s="249">
        <v>3300</v>
      </c>
      <c r="L189" s="247">
        <f t="shared" si="43"/>
        <v>99.4158</v>
      </c>
      <c r="M189" s="249">
        <v>3300</v>
      </c>
      <c r="N189" s="247">
        <f t="shared" si="44"/>
        <v>99.4158</v>
      </c>
      <c r="O189" s="249">
        <v>3300</v>
      </c>
      <c r="P189" s="1790">
        <f t="shared" si="45"/>
        <v>99.4158</v>
      </c>
      <c r="Q189" s="2302">
        <v>3300</v>
      </c>
      <c r="R189" s="2399">
        <f t="shared" si="45"/>
        <v>99.4158</v>
      </c>
      <c r="S189" s="2291"/>
      <c r="T189" s="247"/>
      <c r="U189" s="249"/>
      <c r="V189" s="331"/>
    </row>
    <row r="190" spans="1:22" ht="15" customHeight="1" hidden="1">
      <c r="A190" s="131"/>
      <c r="B190" s="908" t="s">
        <v>633</v>
      </c>
      <c r="C190" s="890">
        <v>30</v>
      </c>
      <c r="D190" s="2571"/>
      <c r="E190" s="772"/>
      <c r="F190" s="2480"/>
      <c r="G190" s="446"/>
      <c r="H190" s="625"/>
      <c r="I190" s="249"/>
      <c r="J190" s="247">
        <f t="shared" si="42"/>
        <v>0</v>
      </c>
      <c r="K190" s="249"/>
      <c r="L190" s="247"/>
      <c r="M190" s="249"/>
      <c r="N190" s="247"/>
      <c r="O190" s="249"/>
      <c r="P190" s="1790">
        <f t="shared" si="45"/>
        <v>0</v>
      </c>
      <c r="Q190" s="2302"/>
      <c r="R190" s="2399">
        <f t="shared" si="45"/>
        <v>0</v>
      </c>
      <c r="S190" s="2291"/>
      <c r="T190" s="247"/>
      <c r="U190" s="249"/>
      <c r="V190" s="331"/>
    </row>
    <row r="191" spans="1:22" ht="15" customHeight="1" hidden="1">
      <c r="A191" s="131"/>
      <c r="B191" s="908" t="s">
        <v>651</v>
      </c>
      <c r="C191" s="890"/>
      <c r="D191" s="2571"/>
      <c r="E191" s="772"/>
      <c r="F191" s="2480"/>
      <c r="G191" s="446"/>
      <c r="H191" s="625"/>
      <c r="I191" s="249"/>
      <c r="J191" s="247">
        <f t="shared" si="42"/>
        <v>0</v>
      </c>
      <c r="K191" s="249"/>
      <c r="L191" s="247"/>
      <c r="M191" s="249"/>
      <c r="N191" s="247"/>
      <c r="O191" s="249"/>
      <c r="P191" s="1790">
        <f t="shared" si="45"/>
        <v>0</v>
      </c>
      <c r="Q191" s="2302"/>
      <c r="R191" s="2399">
        <f t="shared" si="45"/>
        <v>0</v>
      </c>
      <c r="S191" s="2291"/>
      <c r="T191" s="247"/>
      <c r="U191" s="249"/>
      <c r="V191" s="331"/>
    </row>
    <row r="192" spans="1:22" ht="15" customHeight="1" hidden="1">
      <c r="A192" s="131"/>
      <c r="B192" s="908" t="s">
        <v>634</v>
      </c>
      <c r="C192" s="890">
        <v>47</v>
      </c>
      <c r="D192" s="2571"/>
      <c r="E192" s="772"/>
      <c r="F192" s="2480"/>
      <c r="G192" s="446"/>
      <c r="H192" s="625"/>
      <c r="I192" s="249"/>
      <c r="J192" s="247">
        <f t="shared" si="42"/>
        <v>0</v>
      </c>
      <c r="K192" s="249"/>
      <c r="L192" s="247"/>
      <c r="M192" s="249"/>
      <c r="N192" s="247"/>
      <c r="O192" s="249"/>
      <c r="P192" s="1790">
        <f t="shared" si="45"/>
        <v>0</v>
      </c>
      <c r="Q192" s="2302"/>
      <c r="R192" s="2399">
        <f t="shared" si="45"/>
        <v>0</v>
      </c>
      <c r="S192" s="2291"/>
      <c r="T192" s="247"/>
      <c r="U192" s="249"/>
      <c r="V192" s="331"/>
    </row>
    <row r="193" spans="1:22" ht="15" customHeight="1" hidden="1">
      <c r="A193" s="131"/>
      <c r="B193" s="908" t="s">
        <v>635</v>
      </c>
      <c r="C193" s="890">
        <v>137</v>
      </c>
      <c r="D193" s="2571"/>
      <c r="E193" s="772"/>
      <c r="F193" s="2480"/>
      <c r="G193" s="446"/>
      <c r="H193" s="625"/>
      <c r="I193" s="249"/>
      <c r="J193" s="247">
        <f t="shared" si="42"/>
        <v>0</v>
      </c>
      <c r="K193" s="249"/>
      <c r="L193" s="247"/>
      <c r="M193" s="249"/>
      <c r="N193" s="247"/>
      <c r="O193" s="249"/>
      <c r="P193" s="1790">
        <f t="shared" si="45"/>
        <v>0</v>
      </c>
      <c r="Q193" s="2302"/>
      <c r="R193" s="2399">
        <f t="shared" si="45"/>
        <v>0</v>
      </c>
      <c r="S193" s="2291"/>
      <c r="T193" s="247"/>
      <c r="U193" s="249"/>
      <c r="V193" s="331"/>
    </row>
    <row r="194" spans="1:22" ht="15" customHeight="1">
      <c r="A194" s="131"/>
      <c r="B194" s="907" t="s">
        <v>83</v>
      </c>
      <c r="C194" s="889">
        <v>262</v>
      </c>
      <c r="D194" s="1765">
        <v>342</v>
      </c>
      <c r="E194" s="772">
        <v>11619</v>
      </c>
      <c r="F194" s="2480">
        <f t="shared" si="40"/>
        <v>350.033994</v>
      </c>
      <c r="G194" s="446">
        <v>28100</v>
      </c>
      <c r="H194" s="625">
        <f t="shared" si="41"/>
        <v>846.5405999999999</v>
      </c>
      <c r="I194" s="249">
        <v>28100</v>
      </c>
      <c r="J194" s="247">
        <f t="shared" si="42"/>
        <v>846.5405999999999</v>
      </c>
      <c r="K194" s="249">
        <v>32000</v>
      </c>
      <c r="L194" s="247">
        <f t="shared" si="43"/>
        <v>964.032</v>
      </c>
      <c r="M194" s="249">
        <v>34000</v>
      </c>
      <c r="N194" s="247">
        <f t="shared" si="44"/>
        <v>1024.284</v>
      </c>
      <c r="O194" s="249">
        <v>28100</v>
      </c>
      <c r="P194" s="1790">
        <f t="shared" si="45"/>
        <v>846.5405999999999</v>
      </c>
      <c r="Q194" s="2302">
        <v>28100</v>
      </c>
      <c r="R194" s="2399">
        <f t="shared" si="45"/>
        <v>846.5405999999999</v>
      </c>
      <c r="S194" s="2291"/>
      <c r="T194" s="247"/>
      <c r="U194" s="249"/>
      <c r="V194" s="331"/>
    </row>
    <row r="195" spans="1:22" ht="15" customHeight="1">
      <c r="A195" s="131"/>
      <c r="B195" s="907" t="s">
        <v>994</v>
      </c>
      <c r="C195" s="889">
        <v>70</v>
      </c>
      <c r="D195" s="1765">
        <v>90</v>
      </c>
      <c r="E195" s="772">
        <v>3651</v>
      </c>
      <c r="F195" s="2480">
        <f t="shared" si="40"/>
        <v>109.990026</v>
      </c>
      <c r="G195" s="446">
        <v>4000</v>
      </c>
      <c r="H195" s="625">
        <f t="shared" si="41"/>
        <v>120.504</v>
      </c>
      <c r="I195" s="249">
        <v>4000</v>
      </c>
      <c r="J195" s="247">
        <f t="shared" si="42"/>
        <v>120.504</v>
      </c>
      <c r="K195" s="249">
        <v>4200</v>
      </c>
      <c r="L195" s="247">
        <f t="shared" si="43"/>
        <v>126.52920000000002</v>
      </c>
      <c r="M195" s="249">
        <v>4500</v>
      </c>
      <c r="N195" s="247">
        <f t="shared" si="44"/>
        <v>135.567</v>
      </c>
      <c r="O195" s="249">
        <v>4000</v>
      </c>
      <c r="P195" s="1790">
        <f t="shared" si="45"/>
        <v>120.504</v>
      </c>
      <c r="Q195" s="2302">
        <v>4000</v>
      </c>
      <c r="R195" s="2399">
        <f t="shared" si="45"/>
        <v>120.504</v>
      </c>
      <c r="S195" s="2291"/>
      <c r="T195" s="247"/>
      <c r="U195" s="249"/>
      <c r="V195" s="331"/>
    </row>
    <row r="196" spans="1:22" ht="15" customHeight="1" hidden="1">
      <c r="A196" s="131"/>
      <c r="B196" s="909" t="s">
        <v>636</v>
      </c>
      <c r="C196" s="891"/>
      <c r="D196" s="2572"/>
      <c r="E196" s="851"/>
      <c r="F196" s="1802"/>
      <c r="G196" s="611"/>
      <c r="H196" s="625"/>
      <c r="I196" s="312"/>
      <c r="J196" s="247">
        <f t="shared" si="42"/>
        <v>0</v>
      </c>
      <c r="K196" s="312"/>
      <c r="L196" s="247"/>
      <c r="M196" s="312"/>
      <c r="N196" s="247"/>
      <c r="O196" s="312"/>
      <c r="P196" s="1790">
        <f t="shared" si="45"/>
        <v>0</v>
      </c>
      <c r="Q196" s="2403"/>
      <c r="R196" s="2399">
        <f t="shared" si="45"/>
        <v>0</v>
      </c>
      <c r="S196" s="2385"/>
      <c r="T196" s="247"/>
      <c r="U196" s="312"/>
      <c r="V196" s="331"/>
    </row>
    <row r="197" spans="1:22" ht="15" customHeight="1" thickBot="1">
      <c r="A197" s="134"/>
      <c r="B197" s="910" t="s">
        <v>996</v>
      </c>
      <c r="C197" s="892">
        <v>450</v>
      </c>
      <c r="D197" s="2573">
        <v>540</v>
      </c>
      <c r="E197" s="2374">
        <v>18257</v>
      </c>
      <c r="F197" s="2483">
        <f t="shared" si="40"/>
        <v>550.0103819999999</v>
      </c>
      <c r="G197" s="537">
        <v>18257</v>
      </c>
      <c r="H197" s="661">
        <f t="shared" si="41"/>
        <v>550.0103819999999</v>
      </c>
      <c r="I197" s="280">
        <v>18257</v>
      </c>
      <c r="J197" s="649">
        <f t="shared" si="42"/>
        <v>550.0103819999999</v>
      </c>
      <c r="K197" s="280">
        <v>18257</v>
      </c>
      <c r="L197" s="649">
        <f t="shared" si="43"/>
        <v>550.0103819999999</v>
      </c>
      <c r="M197" s="280">
        <v>18257</v>
      </c>
      <c r="N197" s="649">
        <f t="shared" si="44"/>
        <v>550.0103819999999</v>
      </c>
      <c r="O197" s="280">
        <v>18257</v>
      </c>
      <c r="P197" s="2598">
        <f t="shared" si="45"/>
        <v>550.0103819999999</v>
      </c>
      <c r="Q197" s="2260">
        <v>18257</v>
      </c>
      <c r="R197" s="2628">
        <f t="shared" si="45"/>
        <v>550.0103819999999</v>
      </c>
      <c r="S197" s="2386"/>
      <c r="T197" s="649"/>
      <c r="U197" s="280"/>
      <c r="V197" s="650"/>
    </row>
    <row r="198" ht="19.5" customHeight="1" thickBot="1"/>
    <row r="199" spans="1:22" s="23" customFormat="1" ht="39.75" customHeight="1" thickTop="1">
      <c r="A199" s="2884"/>
      <c r="B199" s="2885"/>
      <c r="C199" s="360" t="s">
        <v>506</v>
      </c>
      <c r="D199" s="2112" t="s">
        <v>507</v>
      </c>
      <c r="E199" s="2890" t="s">
        <v>184</v>
      </c>
      <c r="F199" s="2891"/>
      <c r="G199" s="1101" t="s">
        <v>510</v>
      </c>
      <c r="H199" s="1001" t="s">
        <v>510</v>
      </c>
      <c r="I199" s="826" t="s">
        <v>87</v>
      </c>
      <c r="J199" s="826" t="s">
        <v>87</v>
      </c>
      <c r="K199" s="2871" t="s">
        <v>509</v>
      </c>
      <c r="L199" s="2871"/>
      <c r="M199" s="2871" t="s">
        <v>508</v>
      </c>
      <c r="N199" s="2871"/>
      <c r="O199" s="824" t="s">
        <v>952</v>
      </c>
      <c r="P199" s="1579" t="s">
        <v>952</v>
      </c>
      <c r="Q199" s="2859" t="s">
        <v>183</v>
      </c>
      <c r="R199" s="2860"/>
      <c r="S199" s="2880" t="s">
        <v>725</v>
      </c>
      <c r="T199" s="2877"/>
      <c r="U199" s="2877" t="s">
        <v>726</v>
      </c>
      <c r="V199" s="2879"/>
    </row>
    <row r="200" spans="1:22" s="24" customFormat="1" ht="15" customHeight="1" thickBot="1">
      <c r="A200" s="2886"/>
      <c r="B200" s="2887"/>
      <c r="C200" s="347" t="s">
        <v>966</v>
      </c>
      <c r="D200" s="2304" t="s">
        <v>966</v>
      </c>
      <c r="E200" s="768" t="s">
        <v>435</v>
      </c>
      <c r="F200" s="307" t="s">
        <v>966</v>
      </c>
      <c r="G200" s="571" t="s">
        <v>435</v>
      </c>
      <c r="H200" s="238" t="s">
        <v>966</v>
      </c>
      <c r="I200" s="995" t="s">
        <v>435</v>
      </c>
      <c r="J200" s="995" t="s">
        <v>966</v>
      </c>
      <c r="K200" s="239" t="s">
        <v>435</v>
      </c>
      <c r="L200" s="239" t="s">
        <v>966</v>
      </c>
      <c r="M200" s="239" t="s">
        <v>435</v>
      </c>
      <c r="N200" s="239" t="s">
        <v>966</v>
      </c>
      <c r="O200" s="996" t="s">
        <v>435</v>
      </c>
      <c r="P200" s="1580" t="s">
        <v>966</v>
      </c>
      <c r="Q200" s="238" t="s">
        <v>435</v>
      </c>
      <c r="R200" s="993" t="s">
        <v>966</v>
      </c>
      <c r="S200" s="2117" t="s">
        <v>435</v>
      </c>
      <c r="T200" s="239" t="s">
        <v>966</v>
      </c>
      <c r="U200" s="239" t="s">
        <v>435</v>
      </c>
      <c r="V200" s="307" t="s">
        <v>966</v>
      </c>
    </row>
    <row r="201" spans="1:22" s="420" customFormat="1" ht="19.5" customHeight="1">
      <c r="A201" s="1776" t="s">
        <v>754</v>
      </c>
      <c r="B201" s="1012" t="s">
        <v>318</v>
      </c>
      <c r="C201" s="1013">
        <f>C204+C219</f>
        <v>0</v>
      </c>
      <c r="D201" s="1507">
        <f aca="true" t="shared" si="46" ref="D201:M201">D204+D219</f>
        <v>0</v>
      </c>
      <c r="E201" s="1018">
        <f t="shared" si="46"/>
        <v>28550</v>
      </c>
      <c r="F201" s="1017">
        <f t="shared" si="46"/>
        <v>860.0973</v>
      </c>
      <c r="G201" s="1102">
        <f t="shared" si="46"/>
        <v>1712093</v>
      </c>
      <c r="H201" s="1015">
        <f t="shared" si="46"/>
        <v>51578.513718</v>
      </c>
      <c r="I201" s="1016">
        <f t="shared" si="46"/>
        <v>1712093</v>
      </c>
      <c r="J201" s="1016">
        <f t="shared" si="46"/>
        <v>51578.513718</v>
      </c>
      <c r="K201" s="1016">
        <f t="shared" si="46"/>
        <v>157849</v>
      </c>
      <c r="L201" s="1016">
        <f t="shared" si="46"/>
        <v>4755.358974000001</v>
      </c>
      <c r="M201" s="1016">
        <f t="shared" si="46"/>
        <v>47395</v>
      </c>
      <c r="N201" s="1016">
        <f aca="true" t="shared" si="47" ref="N201:P203">N204+N219</f>
        <v>1427.82177</v>
      </c>
      <c r="O201" s="1016">
        <f t="shared" si="47"/>
        <v>1712093</v>
      </c>
      <c r="P201" s="1507">
        <f t="shared" si="47"/>
        <v>51578.513718</v>
      </c>
      <c r="Q201" s="1015">
        <f aca="true" t="shared" si="48" ref="Q201:R203">Q204+Q219</f>
        <v>1712093</v>
      </c>
      <c r="R201" s="1014">
        <f t="shared" si="48"/>
        <v>51578.513718</v>
      </c>
      <c r="S201" s="1013">
        <f aca="true" t="shared" si="49" ref="S201:V203">S204+S219</f>
        <v>157849</v>
      </c>
      <c r="T201" s="1016">
        <f t="shared" si="49"/>
        <v>4755.358974000001</v>
      </c>
      <c r="U201" s="1016">
        <f t="shared" si="49"/>
        <v>47395</v>
      </c>
      <c r="V201" s="1017">
        <f t="shared" si="49"/>
        <v>1427.82177</v>
      </c>
    </row>
    <row r="202" spans="1:22" s="30" customFormat="1" ht="15" customHeight="1">
      <c r="A202" s="1020"/>
      <c r="B202" s="1021" t="s">
        <v>7</v>
      </c>
      <c r="C202" s="1022">
        <f>C205+C220</f>
        <v>0</v>
      </c>
      <c r="D202" s="1508">
        <f aca="true" t="shared" si="50" ref="D202:M202">D205+D220</f>
        <v>0</v>
      </c>
      <c r="E202" s="1027">
        <f t="shared" si="50"/>
        <v>28550</v>
      </c>
      <c r="F202" s="1026">
        <f t="shared" si="50"/>
        <v>860.0973</v>
      </c>
      <c r="G202" s="369">
        <f t="shared" si="50"/>
        <v>259928</v>
      </c>
      <c r="H202" s="1024">
        <f t="shared" si="50"/>
        <v>7830.590928000001</v>
      </c>
      <c r="I202" s="1025">
        <f t="shared" si="50"/>
        <v>259928</v>
      </c>
      <c r="J202" s="1025">
        <f t="shared" si="50"/>
        <v>7830.590928000001</v>
      </c>
      <c r="K202" s="1025">
        <f t="shared" si="50"/>
        <v>33129</v>
      </c>
      <c r="L202" s="1025">
        <f t="shared" si="50"/>
        <v>998.044254</v>
      </c>
      <c r="M202" s="1025">
        <f t="shared" si="50"/>
        <v>17377</v>
      </c>
      <c r="N202" s="1025">
        <f t="shared" si="47"/>
        <v>523.499502</v>
      </c>
      <c r="O202" s="1025">
        <f t="shared" si="47"/>
        <v>259928</v>
      </c>
      <c r="P202" s="1508">
        <f t="shared" si="47"/>
        <v>7830.590928000001</v>
      </c>
      <c r="Q202" s="1024">
        <f t="shared" si="48"/>
        <v>259928</v>
      </c>
      <c r="R202" s="1023">
        <f t="shared" si="48"/>
        <v>7830.590928000001</v>
      </c>
      <c r="S202" s="1022">
        <f t="shared" si="49"/>
        <v>33129</v>
      </c>
      <c r="T202" s="1025">
        <f t="shared" si="49"/>
        <v>998.044254</v>
      </c>
      <c r="U202" s="1025">
        <f t="shared" si="49"/>
        <v>17377</v>
      </c>
      <c r="V202" s="1026">
        <f t="shared" si="49"/>
        <v>523.499502</v>
      </c>
    </row>
    <row r="203" spans="1:22" s="49" customFormat="1" ht="15" customHeight="1">
      <c r="A203" s="1029"/>
      <c r="B203" s="1030" t="s">
        <v>8</v>
      </c>
      <c r="C203" s="1031">
        <f>C206+C221</f>
        <v>0</v>
      </c>
      <c r="D203" s="1509">
        <f aca="true" t="shared" si="51" ref="D203:M203">D206+D221</f>
        <v>0</v>
      </c>
      <c r="E203" s="1036">
        <f t="shared" si="51"/>
        <v>0</v>
      </c>
      <c r="F203" s="1035">
        <f t="shared" si="51"/>
        <v>0</v>
      </c>
      <c r="G203" s="1082">
        <f t="shared" si="51"/>
        <v>1452165</v>
      </c>
      <c r="H203" s="1033">
        <f t="shared" si="51"/>
        <v>43747.92279</v>
      </c>
      <c r="I203" s="1034">
        <f t="shared" si="51"/>
        <v>1452165</v>
      </c>
      <c r="J203" s="1034">
        <f t="shared" si="51"/>
        <v>43747.92279</v>
      </c>
      <c r="K203" s="1034">
        <f t="shared" si="51"/>
        <v>124720</v>
      </c>
      <c r="L203" s="1034">
        <f t="shared" si="51"/>
        <v>3757.3147200000003</v>
      </c>
      <c r="M203" s="1034">
        <f t="shared" si="51"/>
        <v>30018</v>
      </c>
      <c r="N203" s="1034">
        <f t="shared" si="47"/>
        <v>904.322268</v>
      </c>
      <c r="O203" s="1034">
        <f t="shared" si="47"/>
        <v>1452165</v>
      </c>
      <c r="P203" s="1509">
        <f t="shared" si="47"/>
        <v>43747.92279</v>
      </c>
      <c r="Q203" s="1033">
        <f t="shared" si="48"/>
        <v>1452165</v>
      </c>
      <c r="R203" s="1032">
        <f t="shared" si="48"/>
        <v>43747.92279</v>
      </c>
      <c r="S203" s="1031">
        <f t="shared" si="49"/>
        <v>124720</v>
      </c>
      <c r="T203" s="1034">
        <f t="shared" si="49"/>
        <v>3757.3147200000003</v>
      </c>
      <c r="U203" s="1034">
        <f t="shared" si="49"/>
        <v>30018</v>
      </c>
      <c r="V203" s="1035">
        <f t="shared" si="49"/>
        <v>904.322268</v>
      </c>
    </row>
    <row r="204" spans="1:22" s="49" customFormat="1" ht="15" customHeight="1">
      <c r="A204" s="1038"/>
      <c r="B204" s="1039" t="s">
        <v>965</v>
      </c>
      <c r="C204" s="1040">
        <f>C207+C210+C213+C216</f>
        <v>0</v>
      </c>
      <c r="D204" s="1510">
        <f aca="true" t="shared" si="52" ref="D204:N204">D207+D210+D213+D216</f>
        <v>0</v>
      </c>
      <c r="E204" s="1045">
        <f t="shared" si="52"/>
        <v>23550</v>
      </c>
      <c r="F204" s="1044">
        <f t="shared" si="52"/>
        <v>709.4673</v>
      </c>
      <c r="G204" s="1083">
        <f t="shared" si="52"/>
        <v>107199</v>
      </c>
      <c r="H204" s="1042">
        <f t="shared" si="52"/>
        <v>3229.4770740000004</v>
      </c>
      <c r="I204" s="1043">
        <f t="shared" si="52"/>
        <v>107199</v>
      </c>
      <c r="J204" s="1043">
        <f t="shared" si="52"/>
        <v>3229.4770740000004</v>
      </c>
      <c r="K204" s="1043">
        <f t="shared" si="52"/>
        <v>56350</v>
      </c>
      <c r="L204" s="1043">
        <f t="shared" si="52"/>
        <v>1697.6001</v>
      </c>
      <c r="M204" s="1043">
        <f t="shared" si="52"/>
        <v>47395</v>
      </c>
      <c r="N204" s="1043">
        <f t="shared" si="52"/>
        <v>1427.82177</v>
      </c>
      <c r="O204" s="1043">
        <f aca="true" t="shared" si="53" ref="O204:P206">O207+O210+O213+O216</f>
        <v>107199</v>
      </c>
      <c r="P204" s="1510">
        <f t="shared" si="53"/>
        <v>3229.4770740000004</v>
      </c>
      <c r="Q204" s="1042">
        <f aca="true" t="shared" si="54" ref="Q204:R206">Q207+Q210+Q213+Q216</f>
        <v>107199</v>
      </c>
      <c r="R204" s="1041">
        <f t="shared" si="54"/>
        <v>3229.4770740000004</v>
      </c>
      <c r="S204" s="1040">
        <f aca="true" t="shared" si="55" ref="S204:V206">S207+S210+S213+S216</f>
        <v>56350</v>
      </c>
      <c r="T204" s="1043">
        <f t="shared" si="55"/>
        <v>1697.6001</v>
      </c>
      <c r="U204" s="1043">
        <f t="shared" si="55"/>
        <v>47395</v>
      </c>
      <c r="V204" s="1044">
        <f t="shared" si="55"/>
        <v>1427.82177</v>
      </c>
    </row>
    <row r="205" spans="1:22" s="30" customFormat="1" ht="15" customHeight="1">
      <c r="A205" s="1020"/>
      <c r="B205" s="1021" t="s">
        <v>7</v>
      </c>
      <c r="C205" s="1022">
        <f>C208+C211+C214+C217</f>
        <v>0</v>
      </c>
      <c r="D205" s="1508">
        <f aca="true" t="shared" si="56" ref="D205:N205">D208+D211+D214+D217</f>
        <v>0</v>
      </c>
      <c r="E205" s="1027">
        <f t="shared" si="56"/>
        <v>23550</v>
      </c>
      <c r="F205" s="1026">
        <f t="shared" si="56"/>
        <v>709.4673</v>
      </c>
      <c r="G205" s="369">
        <f t="shared" si="56"/>
        <v>37750</v>
      </c>
      <c r="H205" s="1024">
        <f t="shared" si="56"/>
        <v>1137.2565</v>
      </c>
      <c r="I205" s="1025">
        <f t="shared" si="56"/>
        <v>37750</v>
      </c>
      <c r="J205" s="1025">
        <f t="shared" si="56"/>
        <v>1137.2565</v>
      </c>
      <c r="K205" s="1025">
        <f t="shared" si="56"/>
        <v>28055</v>
      </c>
      <c r="L205" s="1025">
        <f t="shared" si="56"/>
        <v>845.18493</v>
      </c>
      <c r="M205" s="1025">
        <f t="shared" si="56"/>
        <v>17377</v>
      </c>
      <c r="N205" s="1025">
        <f t="shared" si="56"/>
        <v>523.499502</v>
      </c>
      <c r="O205" s="1025">
        <f t="shared" si="53"/>
        <v>37750</v>
      </c>
      <c r="P205" s="1508">
        <f t="shared" si="53"/>
        <v>1137.2565</v>
      </c>
      <c r="Q205" s="1024">
        <f t="shared" si="54"/>
        <v>37750</v>
      </c>
      <c r="R205" s="1023">
        <f t="shared" si="54"/>
        <v>1137.2565</v>
      </c>
      <c r="S205" s="1022">
        <f t="shared" si="55"/>
        <v>28055</v>
      </c>
      <c r="T205" s="1025">
        <f t="shared" si="55"/>
        <v>845.18493</v>
      </c>
      <c r="U205" s="1025">
        <f t="shared" si="55"/>
        <v>17377</v>
      </c>
      <c r="V205" s="1026">
        <f t="shared" si="55"/>
        <v>523.499502</v>
      </c>
    </row>
    <row r="206" spans="1:22" s="49" customFormat="1" ht="15" customHeight="1">
      <c r="A206" s="1047"/>
      <c r="B206" s="1048" t="s">
        <v>8</v>
      </c>
      <c r="C206" s="1049">
        <f>C209+C212+C215+C218</f>
        <v>0</v>
      </c>
      <c r="D206" s="1511">
        <f aca="true" t="shared" si="57" ref="D206:N206">D209+D212+D215+D218</f>
        <v>0</v>
      </c>
      <c r="E206" s="1054">
        <f t="shared" si="57"/>
        <v>0</v>
      </c>
      <c r="F206" s="1053">
        <f t="shared" si="57"/>
        <v>0</v>
      </c>
      <c r="G206" s="1084">
        <f t="shared" si="57"/>
        <v>69449</v>
      </c>
      <c r="H206" s="1051">
        <f t="shared" si="57"/>
        <v>2092.220574</v>
      </c>
      <c r="I206" s="1052">
        <f t="shared" si="57"/>
        <v>69449</v>
      </c>
      <c r="J206" s="1052">
        <f t="shared" si="57"/>
        <v>2092.220574</v>
      </c>
      <c r="K206" s="1052">
        <f t="shared" si="57"/>
        <v>28295</v>
      </c>
      <c r="L206" s="1052">
        <f t="shared" si="57"/>
        <v>852.41517</v>
      </c>
      <c r="M206" s="1052">
        <f t="shared" si="57"/>
        <v>30018</v>
      </c>
      <c r="N206" s="1052">
        <f t="shared" si="57"/>
        <v>904.322268</v>
      </c>
      <c r="O206" s="1052">
        <f t="shared" si="53"/>
        <v>69449</v>
      </c>
      <c r="P206" s="1511">
        <f t="shared" si="53"/>
        <v>2092.220574</v>
      </c>
      <c r="Q206" s="1051">
        <f t="shared" si="54"/>
        <v>69449</v>
      </c>
      <c r="R206" s="1050">
        <f t="shared" si="54"/>
        <v>2092.220574</v>
      </c>
      <c r="S206" s="1049">
        <f t="shared" si="55"/>
        <v>28295</v>
      </c>
      <c r="T206" s="1052">
        <f t="shared" si="55"/>
        <v>852.41517</v>
      </c>
      <c r="U206" s="1052">
        <f t="shared" si="55"/>
        <v>30018</v>
      </c>
      <c r="V206" s="1053">
        <f t="shared" si="55"/>
        <v>904.322268</v>
      </c>
    </row>
    <row r="207" spans="1:22" s="65" customFormat="1" ht="15" customHeight="1" hidden="1">
      <c r="A207" s="202"/>
      <c r="B207" s="1283" t="s">
        <v>41</v>
      </c>
      <c r="C207" s="1057">
        <f>SUM(C208:C209)</f>
        <v>0</v>
      </c>
      <c r="D207" s="1681">
        <f aca="true" t="shared" si="58" ref="D207:N207">SUM(D208:D209)</f>
        <v>0</v>
      </c>
      <c r="E207" s="1062">
        <f t="shared" si="58"/>
        <v>0</v>
      </c>
      <c r="F207" s="1061">
        <f t="shared" si="58"/>
        <v>0</v>
      </c>
      <c r="G207" s="1284">
        <f t="shared" si="58"/>
        <v>0</v>
      </c>
      <c r="H207" s="1059">
        <f t="shared" si="58"/>
        <v>0</v>
      </c>
      <c r="I207" s="1060">
        <f t="shared" si="58"/>
        <v>0</v>
      </c>
      <c r="J207" s="1060">
        <f t="shared" si="58"/>
        <v>0</v>
      </c>
      <c r="K207" s="1060">
        <f t="shared" si="58"/>
        <v>0</v>
      </c>
      <c r="L207" s="1060">
        <f t="shared" si="58"/>
        <v>0</v>
      </c>
      <c r="M207" s="1060">
        <f t="shared" si="58"/>
        <v>0</v>
      </c>
      <c r="N207" s="1060">
        <f t="shared" si="58"/>
        <v>0</v>
      </c>
      <c r="O207" s="1060">
        <f aca="true" t="shared" si="59" ref="O207:V207">SUM(O208:O209)</f>
        <v>0</v>
      </c>
      <c r="P207" s="1681">
        <f t="shared" si="59"/>
        <v>0</v>
      </c>
      <c r="Q207" s="1059">
        <f t="shared" si="59"/>
        <v>0</v>
      </c>
      <c r="R207" s="1058">
        <f t="shared" si="59"/>
        <v>0</v>
      </c>
      <c r="S207" s="1057">
        <f t="shared" si="59"/>
        <v>0</v>
      </c>
      <c r="T207" s="1060">
        <f t="shared" si="59"/>
        <v>0</v>
      </c>
      <c r="U207" s="1060">
        <f t="shared" si="59"/>
        <v>0</v>
      </c>
      <c r="V207" s="1061">
        <f t="shared" si="59"/>
        <v>0</v>
      </c>
    </row>
    <row r="208" spans="1:22" ht="15" customHeight="1" hidden="1">
      <c r="A208" s="192"/>
      <c r="B208" s="1285" t="s">
        <v>340</v>
      </c>
      <c r="C208" s="883"/>
      <c r="D208" s="2305"/>
      <c r="E208" s="772"/>
      <c r="F208" s="139"/>
      <c r="G208" s="963"/>
      <c r="H208" s="35"/>
      <c r="I208" s="9"/>
      <c r="J208" s="9"/>
      <c r="K208" s="9"/>
      <c r="L208" s="9"/>
      <c r="M208" s="9"/>
      <c r="N208" s="9"/>
      <c r="O208" s="9"/>
      <c r="P208" s="382"/>
      <c r="Q208" s="35"/>
      <c r="R208" s="8"/>
      <c r="S208" s="782"/>
      <c r="T208" s="9"/>
      <c r="U208" s="9"/>
      <c r="V208" s="139"/>
    </row>
    <row r="209" spans="1:22" s="11" customFormat="1" ht="15" customHeight="1" hidden="1">
      <c r="A209" s="1286"/>
      <c r="B209" s="1287" t="s">
        <v>341</v>
      </c>
      <c r="C209" s="1288"/>
      <c r="D209" s="2574"/>
      <c r="E209" s="1754"/>
      <c r="F209" s="1116"/>
      <c r="G209" s="1114"/>
      <c r="H209" s="1099"/>
      <c r="I209" s="1115"/>
      <c r="J209" s="1115"/>
      <c r="K209" s="1115"/>
      <c r="L209" s="1115"/>
      <c r="M209" s="1115"/>
      <c r="N209" s="1115"/>
      <c r="O209" s="1115"/>
      <c r="P209" s="1583"/>
      <c r="Q209" s="1099"/>
      <c r="R209" s="1113"/>
      <c r="S209" s="2599"/>
      <c r="T209" s="1115"/>
      <c r="U209" s="1115"/>
      <c r="V209" s="1116"/>
    </row>
    <row r="210" spans="1:22" s="65" customFormat="1" ht="15" customHeight="1">
      <c r="A210" s="202"/>
      <c r="B210" s="1283" t="s">
        <v>42</v>
      </c>
      <c r="C210" s="1057">
        <f>SUM(C211:C212)</f>
        <v>0</v>
      </c>
      <c r="D210" s="1681">
        <f aca="true" t="shared" si="60" ref="D210:N210">SUM(D211:D212)</f>
        <v>0</v>
      </c>
      <c r="E210" s="1062">
        <f t="shared" si="60"/>
        <v>23550</v>
      </c>
      <c r="F210" s="1061">
        <f t="shared" si="60"/>
        <v>709.4673</v>
      </c>
      <c r="G210" s="1284">
        <f t="shared" si="60"/>
        <v>60300</v>
      </c>
      <c r="H210" s="1059">
        <f t="shared" si="60"/>
        <v>1816.5978</v>
      </c>
      <c r="I210" s="1060">
        <f t="shared" si="60"/>
        <v>60300</v>
      </c>
      <c r="J210" s="1060">
        <f t="shared" si="60"/>
        <v>1816.5978</v>
      </c>
      <c r="K210" s="1060">
        <f t="shared" si="60"/>
        <v>50450</v>
      </c>
      <c r="L210" s="1060">
        <f t="shared" si="60"/>
        <v>1519.8567</v>
      </c>
      <c r="M210" s="1060">
        <f t="shared" si="60"/>
        <v>47395</v>
      </c>
      <c r="N210" s="1060">
        <f t="shared" si="60"/>
        <v>1427.82177</v>
      </c>
      <c r="O210" s="1060">
        <f aca="true" t="shared" si="61" ref="O210:V210">SUM(O211:O212)</f>
        <v>60300</v>
      </c>
      <c r="P210" s="1681">
        <f t="shared" si="61"/>
        <v>1816.5978</v>
      </c>
      <c r="Q210" s="1059">
        <f t="shared" si="61"/>
        <v>60300</v>
      </c>
      <c r="R210" s="1058">
        <f t="shared" si="61"/>
        <v>1816.5978</v>
      </c>
      <c r="S210" s="1057">
        <f t="shared" si="61"/>
        <v>50450</v>
      </c>
      <c r="T210" s="1060">
        <f t="shared" si="61"/>
        <v>1519.8567</v>
      </c>
      <c r="U210" s="1060">
        <f t="shared" si="61"/>
        <v>47395</v>
      </c>
      <c r="V210" s="1061">
        <f t="shared" si="61"/>
        <v>1427.82177</v>
      </c>
    </row>
    <row r="211" spans="1:22" ht="15" customHeight="1">
      <c r="A211" s="192"/>
      <c r="B211" s="1285" t="s">
        <v>340</v>
      </c>
      <c r="C211" s="883"/>
      <c r="D211" s="2305"/>
      <c r="E211" s="772">
        <v>23550</v>
      </c>
      <c r="F211" s="139">
        <f>(E211*30.126)/1000</f>
        <v>709.4673</v>
      </c>
      <c r="G211" s="963">
        <v>29800</v>
      </c>
      <c r="H211" s="35">
        <f>G211*30.126/1000</f>
        <v>897.7548</v>
      </c>
      <c r="I211" s="9">
        <v>29800</v>
      </c>
      <c r="J211" s="9">
        <f>I211*30.126/1000</f>
        <v>897.7548</v>
      </c>
      <c r="K211" s="9">
        <v>22450</v>
      </c>
      <c r="L211" s="9">
        <f>K211*30.126/1000</f>
        <v>676.3287</v>
      </c>
      <c r="M211" s="9">
        <v>17377</v>
      </c>
      <c r="N211" s="9">
        <f>M211*30.126/1000</f>
        <v>523.499502</v>
      </c>
      <c r="O211" s="9">
        <v>29800</v>
      </c>
      <c r="P211" s="382">
        <f>O211*30.126/1000</f>
        <v>897.7548</v>
      </c>
      <c r="Q211" s="35">
        <v>29800</v>
      </c>
      <c r="R211" s="8">
        <f>Q211*30.126/1000</f>
        <v>897.7548</v>
      </c>
      <c r="S211" s="782">
        <v>22450</v>
      </c>
      <c r="T211" s="9">
        <f>S211*30.126/1000</f>
        <v>676.3287</v>
      </c>
      <c r="U211" s="9">
        <v>17377</v>
      </c>
      <c r="V211" s="139">
        <f>U211*30.126/1000</f>
        <v>523.499502</v>
      </c>
    </row>
    <row r="212" spans="1:22" s="11" customFormat="1" ht="15" customHeight="1">
      <c r="A212" s="1286"/>
      <c r="B212" s="1287" t="s">
        <v>341</v>
      </c>
      <c r="C212" s="1288"/>
      <c r="D212" s="2574"/>
      <c r="E212" s="1754">
        <v>0</v>
      </c>
      <c r="F212" s="1116">
        <f>(E212*30.126)/1000</f>
        <v>0</v>
      </c>
      <c r="G212" s="1114">
        <v>30500</v>
      </c>
      <c r="H212" s="1099">
        <f>G212*30.126/1000</f>
        <v>918.843</v>
      </c>
      <c r="I212" s="1115">
        <v>30500</v>
      </c>
      <c r="J212" s="1115">
        <f>I212*30.126/1000</f>
        <v>918.843</v>
      </c>
      <c r="K212" s="1115">
        <v>28000</v>
      </c>
      <c r="L212" s="1115">
        <f>K212*30.126/1000</f>
        <v>843.528</v>
      </c>
      <c r="M212" s="1115">
        <v>30018</v>
      </c>
      <c r="N212" s="1115">
        <f>M212*30.126/1000</f>
        <v>904.322268</v>
      </c>
      <c r="O212" s="1115">
        <v>30500</v>
      </c>
      <c r="P212" s="1583">
        <f>O212*30.126/1000</f>
        <v>918.843</v>
      </c>
      <c r="Q212" s="1099">
        <v>30500</v>
      </c>
      <c r="R212" s="1113">
        <f>Q212*30.126/1000</f>
        <v>918.843</v>
      </c>
      <c r="S212" s="2599">
        <v>28000</v>
      </c>
      <c r="T212" s="1115">
        <f>S212*30.126/1000</f>
        <v>843.528</v>
      </c>
      <c r="U212" s="1115">
        <v>30018</v>
      </c>
      <c r="V212" s="1116">
        <f>U212*30.126/1000</f>
        <v>904.322268</v>
      </c>
    </row>
    <row r="213" spans="1:22" s="65" customFormat="1" ht="15" customHeight="1">
      <c r="A213" s="202"/>
      <c r="B213" s="1283" t="s">
        <v>57</v>
      </c>
      <c r="C213" s="1289">
        <f>SUM(C214:C215)</f>
        <v>0</v>
      </c>
      <c r="D213" s="2312">
        <f aca="true" t="shared" si="62" ref="D213:N213">SUM(D214:D215)</f>
        <v>0</v>
      </c>
      <c r="E213" s="1755">
        <f t="shared" si="62"/>
        <v>0</v>
      </c>
      <c r="F213" s="1294">
        <f t="shared" si="62"/>
        <v>0</v>
      </c>
      <c r="G213" s="1292">
        <f t="shared" si="62"/>
        <v>5900</v>
      </c>
      <c r="H213" s="1291">
        <f t="shared" si="62"/>
        <v>177.7434</v>
      </c>
      <c r="I213" s="1293">
        <f t="shared" si="62"/>
        <v>5900</v>
      </c>
      <c r="J213" s="1293">
        <f t="shared" si="62"/>
        <v>177.7434</v>
      </c>
      <c r="K213" s="1293">
        <f t="shared" si="62"/>
        <v>5900</v>
      </c>
      <c r="L213" s="1293">
        <f t="shared" si="62"/>
        <v>177.7434</v>
      </c>
      <c r="M213" s="1293">
        <f t="shared" si="62"/>
        <v>0</v>
      </c>
      <c r="N213" s="1293">
        <f t="shared" si="62"/>
        <v>0</v>
      </c>
      <c r="O213" s="1293">
        <f aca="true" t="shared" si="63" ref="O213:V213">SUM(O214:O215)</f>
        <v>5900</v>
      </c>
      <c r="P213" s="2312">
        <f t="shared" si="63"/>
        <v>177.7434</v>
      </c>
      <c r="Q213" s="1291">
        <f t="shared" si="63"/>
        <v>5900</v>
      </c>
      <c r="R213" s="1290">
        <f t="shared" si="63"/>
        <v>177.7434</v>
      </c>
      <c r="S213" s="1289">
        <f t="shared" si="63"/>
        <v>5900</v>
      </c>
      <c r="T213" s="1293">
        <f t="shared" si="63"/>
        <v>177.7434</v>
      </c>
      <c r="U213" s="1293">
        <f t="shared" si="63"/>
        <v>0</v>
      </c>
      <c r="V213" s="1294">
        <f t="shared" si="63"/>
        <v>0</v>
      </c>
    </row>
    <row r="214" spans="1:22" ht="15" customHeight="1">
      <c r="A214" s="192"/>
      <c r="B214" s="1285" t="s">
        <v>340</v>
      </c>
      <c r="C214" s="883"/>
      <c r="D214" s="2305"/>
      <c r="E214" s="772"/>
      <c r="F214" s="139"/>
      <c r="G214" s="963">
        <v>5900</v>
      </c>
      <c r="H214" s="35">
        <f>G214*30.126/1000</f>
        <v>177.7434</v>
      </c>
      <c r="I214" s="9">
        <v>5900</v>
      </c>
      <c r="J214" s="9">
        <f>I214*30.126/1000</f>
        <v>177.7434</v>
      </c>
      <c r="K214" s="9">
        <v>5605</v>
      </c>
      <c r="L214" s="9">
        <f>K214*30.126/1000</f>
        <v>168.85623</v>
      </c>
      <c r="M214" s="9"/>
      <c r="N214" s="9"/>
      <c r="O214" s="9">
        <v>5900</v>
      </c>
      <c r="P214" s="382">
        <f>O214*30.126/1000</f>
        <v>177.7434</v>
      </c>
      <c r="Q214" s="35">
        <v>5900</v>
      </c>
      <c r="R214" s="8">
        <f>Q214*30.126/1000</f>
        <v>177.7434</v>
      </c>
      <c r="S214" s="782">
        <v>5605</v>
      </c>
      <c r="T214" s="9">
        <f>S214*30.126/1000</f>
        <v>168.85623</v>
      </c>
      <c r="U214" s="9"/>
      <c r="V214" s="139"/>
    </row>
    <row r="215" spans="1:22" s="11" customFormat="1" ht="15" customHeight="1">
      <c r="A215" s="1286"/>
      <c r="B215" s="1287" t="s">
        <v>341</v>
      </c>
      <c r="C215" s="1288"/>
      <c r="D215" s="2574"/>
      <c r="E215" s="1754"/>
      <c r="F215" s="1116"/>
      <c r="G215" s="1114">
        <v>0</v>
      </c>
      <c r="H215" s="1099">
        <f>G215*30.126/1000</f>
        <v>0</v>
      </c>
      <c r="I215" s="1115">
        <v>0</v>
      </c>
      <c r="J215" s="1115">
        <f>I215*30.126/1000</f>
        <v>0</v>
      </c>
      <c r="K215" s="1115">
        <v>295</v>
      </c>
      <c r="L215" s="1115">
        <f>K215*30.126/1000</f>
        <v>8.88717</v>
      </c>
      <c r="M215" s="1115"/>
      <c r="N215" s="1115"/>
      <c r="O215" s="1115">
        <v>0</v>
      </c>
      <c r="P215" s="1583">
        <f>O215*30.126/1000</f>
        <v>0</v>
      </c>
      <c r="Q215" s="1099">
        <v>0</v>
      </c>
      <c r="R215" s="1113">
        <f>Q215*30.126/1000</f>
        <v>0</v>
      </c>
      <c r="S215" s="2599">
        <v>295</v>
      </c>
      <c r="T215" s="1115">
        <f>S215*30.126/1000</f>
        <v>8.88717</v>
      </c>
      <c r="U215" s="1115"/>
      <c r="V215" s="1116"/>
    </row>
    <row r="216" spans="1:22" s="65" customFormat="1" ht="15" customHeight="1">
      <c r="A216" s="202"/>
      <c r="B216" s="1283" t="s">
        <v>56</v>
      </c>
      <c r="C216" s="1057">
        <f aca="true" t="shared" si="64" ref="C216:N216">SUM(C217:C218)</f>
        <v>0</v>
      </c>
      <c r="D216" s="1681">
        <f t="shared" si="64"/>
        <v>0</v>
      </c>
      <c r="E216" s="1062">
        <f t="shared" si="64"/>
        <v>0</v>
      </c>
      <c r="F216" s="1061">
        <f t="shared" si="64"/>
        <v>0</v>
      </c>
      <c r="G216" s="1284">
        <f t="shared" si="64"/>
        <v>40999</v>
      </c>
      <c r="H216" s="1059">
        <f t="shared" si="64"/>
        <v>1235.135874</v>
      </c>
      <c r="I216" s="1060">
        <f t="shared" si="64"/>
        <v>40999</v>
      </c>
      <c r="J216" s="1060">
        <f t="shared" si="64"/>
        <v>1235.135874</v>
      </c>
      <c r="K216" s="1060">
        <f t="shared" si="64"/>
        <v>0</v>
      </c>
      <c r="L216" s="1060">
        <f t="shared" si="64"/>
        <v>0</v>
      </c>
      <c r="M216" s="1060">
        <f t="shared" si="64"/>
        <v>0</v>
      </c>
      <c r="N216" s="1060">
        <f t="shared" si="64"/>
        <v>0</v>
      </c>
      <c r="O216" s="1060">
        <f aca="true" t="shared" si="65" ref="O216:V216">SUM(O217:O218)</f>
        <v>40999</v>
      </c>
      <c r="P216" s="1681">
        <f t="shared" si="65"/>
        <v>1235.135874</v>
      </c>
      <c r="Q216" s="1059">
        <f t="shared" si="65"/>
        <v>40999</v>
      </c>
      <c r="R216" s="1058">
        <f t="shared" si="65"/>
        <v>1235.135874</v>
      </c>
      <c r="S216" s="1057">
        <f t="shared" si="65"/>
        <v>0</v>
      </c>
      <c r="T216" s="1060">
        <f t="shared" si="65"/>
        <v>0</v>
      </c>
      <c r="U216" s="1060">
        <f t="shared" si="65"/>
        <v>0</v>
      </c>
      <c r="V216" s="1061">
        <f t="shared" si="65"/>
        <v>0</v>
      </c>
    </row>
    <row r="217" spans="1:22" ht="15" customHeight="1">
      <c r="A217" s="192"/>
      <c r="B217" s="1285" t="s">
        <v>340</v>
      </c>
      <c r="C217" s="883"/>
      <c r="D217" s="2305"/>
      <c r="E217" s="772"/>
      <c r="F217" s="139"/>
      <c r="G217" s="963">
        <v>2050</v>
      </c>
      <c r="H217" s="35">
        <f>G217*30.126/1000</f>
        <v>61.758300000000006</v>
      </c>
      <c r="I217" s="9">
        <v>2050</v>
      </c>
      <c r="J217" s="9">
        <f>I217*30.126/1000</f>
        <v>61.758300000000006</v>
      </c>
      <c r="K217" s="9"/>
      <c r="L217" s="9"/>
      <c r="M217" s="9"/>
      <c r="N217" s="9"/>
      <c r="O217" s="9">
        <v>2050</v>
      </c>
      <c r="P217" s="382">
        <f>O217*30.126/1000</f>
        <v>61.758300000000006</v>
      </c>
      <c r="Q217" s="35">
        <v>2050</v>
      </c>
      <c r="R217" s="8">
        <f>Q217*30.126/1000</f>
        <v>61.758300000000006</v>
      </c>
      <c r="S217" s="782"/>
      <c r="T217" s="9"/>
      <c r="U217" s="9"/>
      <c r="V217" s="139"/>
    </row>
    <row r="218" spans="1:22" s="11" customFormat="1" ht="15" customHeight="1">
      <c r="A218" s="1286"/>
      <c r="B218" s="1287" t="s">
        <v>341</v>
      </c>
      <c r="C218" s="1288"/>
      <c r="D218" s="2574"/>
      <c r="E218" s="1754"/>
      <c r="F218" s="1116"/>
      <c r="G218" s="1114">
        <v>38949</v>
      </c>
      <c r="H218" s="1099">
        <f>G218*30.126/1000</f>
        <v>1173.377574</v>
      </c>
      <c r="I218" s="1115">
        <v>38949</v>
      </c>
      <c r="J218" s="1115">
        <f>I218*30.126/1000</f>
        <v>1173.377574</v>
      </c>
      <c r="K218" s="1115"/>
      <c r="L218" s="1115"/>
      <c r="M218" s="1115"/>
      <c r="N218" s="1115"/>
      <c r="O218" s="1115">
        <v>38949</v>
      </c>
      <c r="P218" s="1583">
        <f>O218*30.126/1000</f>
        <v>1173.377574</v>
      </c>
      <c r="Q218" s="1099">
        <v>38949</v>
      </c>
      <c r="R218" s="1113">
        <f>Q218*30.126/1000</f>
        <v>1173.377574</v>
      </c>
      <c r="S218" s="2599"/>
      <c r="T218" s="1115"/>
      <c r="U218" s="1115"/>
      <c r="V218" s="1116"/>
    </row>
    <row r="219" spans="1:22" s="49" customFormat="1" ht="15" customHeight="1">
      <c r="A219" s="1038"/>
      <c r="B219" s="1039" t="s">
        <v>967</v>
      </c>
      <c r="C219" s="1040">
        <f>C222+C225+C228</f>
        <v>0</v>
      </c>
      <c r="D219" s="1510">
        <f aca="true" t="shared" si="66" ref="D219:N219">D222+D225+D228</f>
        <v>0</v>
      </c>
      <c r="E219" s="1045">
        <f t="shared" si="66"/>
        <v>5000</v>
      </c>
      <c r="F219" s="1044">
        <f t="shared" si="66"/>
        <v>150.63</v>
      </c>
      <c r="G219" s="1083">
        <f t="shared" si="66"/>
        <v>1604894</v>
      </c>
      <c r="H219" s="1042">
        <f t="shared" si="66"/>
        <v>48349.036644</v>
      </c>
      <c r="I219" s="1043">
        <f t="shared" si="66"/>
        <v>1604894</v>
      </c>
      <c r="J219" s="1043">
        <f t="shared" si="66"/>
        <v>48349.036644</v>
      </c>
      <c r="K219" s="1043">
        <f t="shared" si="66"/>
        <v>101499</v>
      </c>
      <c r="L219" s="1043">
        <f t="shared" si="66"/>
        <v>3057.758874</v>
      </c>
      <c r="M219" s="1043">
        <f t="shared" si="66"/>
        <v>0</v>
      </c>
      <c r="N219" s="1043">
        <f t="shared" si="66"/>
        <v>0</v>
      </c>
      <c r="O219" s="1043">
        <f aca="true" t="shared" si="67" ref="O219:P221">O222+O225+O228</f>
        <v>1604894</v>
      </c>
      <c r="P219" s="1510">
        <f t="shared" si="67"/>
        <v>48349.036644</v>
      </c>
      <c r="Q219" s="1042">
        <f aca="true" t="shared" si="68" ref="Q219:R221">Q222+Q225+Q228</f>
        <v>1604894</v>
      </c>
      <c r="R219" s="1041">
        <f t="shared" si="68"/>
        <v>48349.036644</v>
      </c>
      <c r="S219" s="1040">
        <f aca="true" t="shared" si="69" ref="S219:V221">S222+S225+S228</f>
        <v>101499</v>
      </c>
      <c r="T219" s="1043">
        <f t="shared" si="69"/>
        <v>3057.758874</v>
      </c>
      <c r="U219" s="1043">
        <f t="shared" si="69"/>
        <v>0</v>
      </c>
      <c r="V219" s="1044">
        <f t="shared" si="69"/>
        <v>0</v>
      </c>
    </row>
    <row r="220" spans="1:22" s="30" customFormat="1" ht="15" customHeight="1">
      <c r="A220" s="1020"/>
      <c r="B220" s="1021" t="s">
        <v>7</v>
      </c>
      <c r="C220" s="1022">
        <f>C223+C226+C229</f>
        <v>0</v>
      </c>
      <c r="D220" s="1508">
        <f aca="true" t="shared" si="70" ref="D220:N220">D223+D226+D229</f>
        <v>0</v>
      </c>
      <c r="E220" s="1027">
        <f t="shared" si="70"/>
        <v>5000</v>
      </c>
      <c r="F220" s="1026">
        <f t="shared" si="70"/>
        <v>150.63</v>
      </c>
      <c r="G220" s="369">
        <f t="shared" si="70"/>
        <v>222178</v>
      </c>
      <c r="H220" s="1024">
        <f t="shared" si="70"/>
        <v>6693.334428000001</v>
      </c>
      <c r="I220" s="1025">
        <f t="shared" si="70"/>
        <v>222178</v>
      </c>
      <c r="J220" s="1025">
        <f t="shared" si="70"/>
        <v>6693.334428000001</v>
      </c>
      <c r="K220" s="1025">
        <f t="shared" si="70"/>
        <v>5074</v>
      </c>
      <c r="L220" s="1025">
        <f t="shared" si="70"/>
        <v>152.859324</v>
      </c>
      <c r="M220" s="1025">
        <f t="shared" si="70"/>
        <v>0</v>
      </c>
      <c r="N220" s="1025">
        <f t="shared" si="70"/>
        <v>0</v>
      </c>
      <c r="O220" s="1025">
        <f t="shared" si="67"/>
        <v>222178</v>
      </c>
      <c r="P220" s="1508">
        <f t="shared" si="67"/>
        <v>6693.334428000001</v>
      </c>
      <c r="Q220" s="1024">
        <f t="shared" si="68"/>
        <v>222178</v>
      </c>
      <c r="R220" s="1023">
        <f t="shared" si="68"/>
        <v>6693.334428000001</v>
      </c>
      <c r="S220" s="1022">
        <f t="shared" si="69"/>
        <v>5074</v>
      </c>
      <c r="T220" s="1025">
        <f t="shared" si="69"/>
        <v>152.859324</v>
      </c>
      <c r="U220" s="1025">
        <f t="shared" si="69"/>
        <v>0</v>
      </c>
      <c r="V220" s="1026">
        <f t="shared" si="69"/>
        <v>0</v>
      </c>
    </row>
    <row r="221" spans="1:22" s="49" customFormat="1" ht="15" customHeight="1">
      <c r="A221" s="1047"/>
      <c r="B221" s="1048" t="s">
        <v>8</v>
      </c>
      <c r="C221" s="1049">
        <f>C224+C227+C230</f>
        <v>0</v>
      </c>
      <c r="D221" s="1511">
        <f aca="true" t="shared" si="71" ref="D221:N221">D224+D227+D230</f>
        <v>0</v>
      </c>
      <c r="E221" s="1054">
        <f t="shared" si="71"/>
        <v>0</v>
      </c>
      <c r="F221" s="1053">
        <f t="shared" si="71"/>
        <v>0</v>
      </c>
      <c r="G221" s="1084">
        <f t="shared" si="71"/>
        <v>1382716</v>
      </c>
      <c r="H221" s="1051">
        <f t="shared" si="71"/>
        <v>41655.702216</v>
      </c>
      <c r="I221" s="1052">
        <f t="shared" si="71"/>
        <v>1382716</v>
      </c>
      <c r="J221" s="1052">
        <f t="shared" si="71"/>
        <v>41655.702216</v>
      </c>
      <c r="K221" s="1052">
        <f t="shared" si="71"/>
        <v>96425</v>
      </c>
      <c r="L221" s="1052">
        <f t="shared" si="71"/>
        <v>2904.89955</v>
      </c>
      <c r="M221" s="1052">
        <f t="shared" si="71"/>
        <v>0</v>
      </c>
      <c r="N221" s="1052">
        <f t="shared" si="71"/>
        <v>0</v>
      </c>
      <c r="O221" s="1052">
        <f t="shared" si="67"/>
        <v>1382716</v>
      </c>
      <c r="P221" s="1511">
        <f t="shared" si="67"/>
        <v>41655.702216</v>
      </c>
      <c r="Q221" s="1051">
        <f t="shared" si="68"/>
        <v>1382716</v>
      </c>
      <c r="R221" s="1050">
        <f t="shared" si="68"/>
        <v>41655.702216</v>
      </c>
      <c r="S221" s="1049">
        <f t="shared" si="69"/>
        <v>96425</v>
      </c>
      <c r="T221" s="1052">
        <f t="shared" si="69"/>
        <v>2904.89955</v>
      </c>
      <c r="U221" s="1052">
        <f t="shared" si="69"/>
        <v>0</v>
      </c>
      <c r="V221" s="1053">
        <f t="shared" si="69"/>
        <v>0</v>
      </c>
    </row>
    <row r="222" spans="1:22" s="65" customFormat="1" ht="15" customHeight="1">
      <c r="A222" s="202"/>
      <c r="B222" s="1283" t="s">
        <v>56</v>
      </c>
      <c r="C222" s="1057">
        <f>SUM(C223:C224)</f>
        <v>0</v>
      </c>
      <c r="D222" s="1681">
        <f aca="true" t="shared" si="72" ref="D222:N222">SUM(D223:D224)</f>
        <v>0</v>
      </c>
      <c r="E222" s="1062">
        <f t="shared" si="72"/>
        <v>5000</v>
      </c>
      <c r="F222" s="1061">
        <f t="shared" si="72"/>
        <v>150.63</v>
      </c>
      <c r="G222" s="1284">
        <f t="shared" si="72"/>
        <v>1413561</v>
      </c>
      <c r="H222" s="1059">
        <f t="shared" si="72"/>
        <v>42584.938686</v>
      </c>
      <c r="I222" s="1060">
        <f t="shared" si="72"/>
        <v>1413561</v>
      </c>
      <c r="J222" s="1060">
        <f t="shared" si="72"/>
        <v>42584.938686</v>
      </c>
      <c r="K222" s="1060">
        <f t="shared" si="72"/>
        <v>0</v>
      </c>
      <c r="L222" s="1060">
        <f t="shared" si="72"/>
        <v>0</v>
      </c>
      <c r="M222" s="1060">
        <f t="shared" si="72"/>
        <v>0</v>
      </c>
      <c r="N222" s="1060">
        <f t="shared" si="72"/>
        <v>0</v>
      </c>
      <c r="O222" s="1060">
        <f aca="true" t="shared" si="73" ref="O222:V222">SUM(O223:O224)</f>
        <v>1413561</v>
      </c>
      <c r="P222" s="1681">
        <f t="shared" si="73"/>
        <v>42584.938686</v>
      </c>
      <c r="Q222" s="1059">
        <f t="shared" si="73"/>
        <v>1413561</v>
      </c>
      <c r="R222" s="1058">
        <f t="shared" si="73"/>
        <v>42584.938686</v>
      </c>
      <c r="S222" s="1057">
        <f t="shared" si="73"/>
        <v>0</v>
      </c>
      <c r="T222" s="1060">
        <f t="shared" si="73"/>
        <v>0</v>
      </c>
      <c r="U222" s="1060">
        <f t="shared" si="73"/>
        <v>0</v>
      </c>
      <c r="V222" s="1061">
        <f t="shared" si="73"/>
        <v>0</v>
      </c>
    </row>
    <row r="223" spans="1:22" ht="15" customHeight="1">
      <c r="A223" s="192"/>
      <c r="B223" s="1285" t="s">
        <v>340</v>
      </c>
      <c r="C223" s="883"/>
      <c r="D223" s="2305"/>
      <c r="E223" s="772">
        <v>5000</v>
      </c>
      <c r="F223" s="139">
        <f>(E223*30.126)/1000</f>
        <v>150.63</v>
      </c>
      <c r="G223" s="963">
        <v>70678</v>
      </c>
      <c r="H223" s="35">
        <f>G223*30.126/1000</f>
        <v>2129.245428</v>
      </c>
      <c r="I223" s="9">
        <v>70678</v>
      </c>
      <c r="J223" s="9">
        <f>I223*30.126/1000</f>
        <v>2129.245428</v>
      </c>
      <c r="K223" s="9"/>
      <c r="L223" s="9"/>
      <c r="M223" s="9"/>
      <c r="N223" s="9"/>
      <c r="O223" s="9">
        <v>70678</v>
      </c>
      <c r="P223" s="382">
        <f>O223*30.126/1000</f>
        <v>2129.245428</v>
      </c>
      <c r="Q223" s="35">
        <v>70678</v>
      </c>
      <c r="R223" s="8">
        <f>Q223*30.126/1000</f>
        <v>2129.245428</v>
      </c>
      <c r="S223" s="782"/>
      <c r="T223" s="9"/>
      <c r="U223" s="9"/>
      <c r="V223" s="139"/>
    </row>
    <row r="224" spans="1:22" s="11" customFormat="1" ht="15" customHeight="1">
      <c r="A224" s="1286"/>
      <c r="B224" s="1287" t="s">
        <v>341</v>
      </c>
      <c r="C224" s="1288"/>
      <c r="D224" s="2574"/>
      <c r="E224" s="1754">
        <v>0</v>
      </c>
      <c r="F224" s="1116">
        <v>0</v>
      </c>
      <c r="G224" s="1114">
        <v>1342883</v>
      </c>
      <c r="H224" s="1099">
        <f>G224*30.126/1000</f>
        <v>40455.693258</v>
      </c>
      <c r="I224" s="1115">
        <v>1342883</v>
      </c>
      <c r="J224" s="1115">
        <f>I224*30.126/1000</f>
        <v>40455.693258</v>
      </c>
      <c r="K224" s="1115"/>
      <c r="L224" s="1115"/>
      <c r="M224" s="1115"/>
      <c r="N224" s="1115"/>
      <c r="O224" s="1115">
        <v>1342883</v>
      </c>
      <c r="P224" s="1583">
        <f>O224*30.126/1000</f>
        <v>40455.693258</v>
      </c>
      <c r="Q224" s="1099">
        <v>1342883</v>
      </c>
      <c r="R224" s="1113">
        <f>Q224*30.126/1000</f>
        <v>40455.693258</v>
      </c>
      <c r="S224" s="2599"/>
      <c r="T224" s="1115"/>
      <c r="U224" s="1115"/>
      <c r="V224" s="1116"/>
    </row>
    <row r="225" spans="1:22" s="65" customFormat="1" ht="15" customHeight="1">
      <c r="A225" s="202"/>
      <c r="B225" s="1283" t="s">
        <v>57</v>
      </c>
      <c r="C225" s="1289">
        <f aca="true" t="shared" si="74" ref="C225:N225">SUM(C226:C227)</f>
        <v>0</v>
      </c>
      <c r="D225" s="2312">
        <f t="shared" si="74"/>
        <v>0</v>
      </c>
      <c r="E225" s="1755">
        <f t="shared" si="74"/>
        <v>0</v>
      </c>
      <c r="F225" s="1294">
        <f t="shared" si="74"/>
        <v>0</v>
      </c>
      <c r="G225" s="1292">
        <f t="shared" si="74"/>
        <v>101500</v>
      </c>
      <c r="H225" s="1291">
        <f t="shared" si="74"/>
        <v>3057.789</v>
      </c>
      <c r="I225" s="1293">
        <f t="shared" si="74"/>
        <v>101500</v>
      </c>
      <c r="J225" s="1293">
        <f t="shared" si="74"/>
        <v>3057.789</v>
      </c>
      <c r="K225" s="1293">
        <f t="shared" si="74"/>
        <v>101499</v>
      </c>
      <c r="L225" s="1293">
        <f t="shared" si="74"/>
        <v>3057.758874</v>
      </c>
      <c r="M225" s="1293">
        <f t="shared" si="74"/>
        <v>0</v>
      </c>
      <c r="N225" s="1293">
        <f t="shared" si="74"/>
        <v>0</v>
      </c>
      <c r="O225" s="1293">
        <f aca="true" t="shared" si="75" ref="O225:V225">SUM(O226:O227)</f>
        <v>101500</v>
      </c>
      <c r="P225" s="2312">
        <f t="shared" si="75"/>
        <v>3057.789</v>
      </c>
      <c r="Q225" s="1291">
        <f t="shared" si="75"/>
        <v>101500</v>
      </c>
      <c r="R225" s="1290">
        <f t="shared" si="75"/>
        <v>3057.789</v>
      </c>
      <c r="S225" s="1289">
        <f t="shared" si="75"/>
        <v>101499</v>
      </c>
      <c r="T225" s="1293">
        <f t="shared" si="75"/>
        <v>3057.758874</v>
      </c>
      <c r="U225" s="1293">
        <f t="shared" si="75"/>
        <v>0</v>
      </c>
      <c r="V225" s="1294">
        <f t="shared" si="75"/>
        <v>0</v>
      </c>
    </row>
    <row r="226" spans="1:22" ht="15" customHeight="1">
      <c r="A226" s="192"/>
      <c r="B226" s="1285" t="s">
        <v>340</v>
      </c>
      <c r="C226" s="883"/>
      <c r="D226" s="2305"/>
      <c r="E226" s="772"/>
      <c r="F226" s="139"/>
      <c r="G226" s="963">
        <v>101500</v>
      </c>
      <c r="H226" s="35">
        <f>G226*30.126/1000</f>
        <v>3057.789</v>
      </c>
      <c r="I226" s="9">
        <v>101500</v>
      </c>
      <c r="J226" s="9">
        <f>I226*30.126/1000</f>
        <v>3057.789</v>
      </c>
      <c r="K226" s="9">
        <v>5074</v>
      </c>
      <c r="L226" s="9">
        <f>K226*30.126/1000</f>
        <v>152.859324</v>
      </c>
      <c r="M226" s="9"/>
      <c r="N226" s="9"/>
      <c r="O226" s="9">
        <v>101500</v>
      </c>
      <c r="P226" s="382">
        <f>O226*30.126/1000</f>
        <v>3057.789</v>
      </c>
      <c r="Q226" s="35">
        <v>101500</v>
      </c>
      <c r="R226" s="8">
        <f>Q226*30.126/1000</f>
        <v>3057.789</v>
      </c>
      <c r="S226" s="782">
        <v>5074</v>
      </c>
      <c r="T226" s="9">
        <f>S226*30.126/1000</f>
        <v>152.859324</v>
      </c>
      <c r="U226" s="9"/>
      <c r="V226" s="139"/>
    </row>
    <row r="227" spans="1:22" s="11" customFormat="1" ht="15" customHeight="1">
      <c r="A227" s="1286"/>
      <c r="B227" s="1287" t="s">
        <v>341</v>
      </c>
      <c r="C227" s="1288"/>
      <c r="D227" s="2574"/>
      <c r="E227" s="1754"/>
      <c r="F227" s="1116"/>
      <c r="G227" s="1114">
        <v>0</v>
      </c>
      <c r="H227" s="1099">
        <f>G227*30.126/1000</f>
        <v>0</v>
      </c>
      <c r="I227" s="1115">
        <v>0</v>
      </c>
      <c r="J227" s="1115">
        <f>I227*30.126/1000</f>
        <v>0</v>
      </c>
      <c r="K227" s="1115">
        <v>96425</v>
      </c>
      <c r="L227" s="1115">
        <f>K227*30.126/1000</f>
        <v>2904.89955</v>
      </c>
      <c r="M227" s="1115"/>
      <c r="N227" s="1115"/>
      <c r="O227" s="1115">
        <v>0</v>
      </c>
      <c r="P227" s="1583">
        <f>O227*30.126/1000</f>
        <v>0</v>
      </c>
      <c r="Q227" s="1099">
        <v>0</v>
      </c>
      <c r="R227" s="1113">
        <f>Q227*30.126/1000</f>
        <v>0</v>
      </c>
      <c r="S227" s="2599">
        <v>96425</v>
      </c>
      <c r="T227" s="1115">
        <f>S227*30.126/1000</f>
        <v>2904.89955</v>
      </c>
      <c r="U227" s="1115"/>
      <c r="V227" s="1116"/>
    </row>
    <row r="228" spans="1:22" s="65" customFormat="1" ht="15" customHeight="1">
      <c r="A228" s="202"/>
      <c r="B228" s="1283" t="s">
        <v>65</v>
      </c>
      <c r="C228" s="1289">
        <f aca="true" t="shared" si="76" ref="C228:N228">SUM(C229:C230)</f>
        <v>0</v>
      </c>
      <c r="D228" s="2312">
        <f t="shared" si="76"/>
        <v>0</v>
      </c>
      <c r="E228" s="1755">
        <f t="shared" si="76"/>
        <v>0</v>
      </c>
      <c r="F228" s="1294">
        <f t="shared" si="76"/>
        <v>0</v>
      </c>
      <c r="G228" s="1292">
        <f t="shared" si="76"/>
        <v>89833</v>
      </c>
      <c r="H228" s="1291">
        <f t="shared" si="76"/>
        <v>2706.308958</v>
      </c>
      <c r="I228" s="1293">
        <f t="shared" si="76"/>
        <v>89833</v>
      </c>
      <c r="J228" s="1293">
        <f t="shared" si="76"/>
        <v>2706.308958</v>
      </c>
      <c r="K228" s="1293">
        <f t="shared" si="76"/>
        <v>0</v>
      </c>
      <c r="L228" s="1293">
        <f t="shared" si="76"/>
        <v>0</v>
      </c>
      <c r="M228" s="1293">
        <f t="shared" si="76"/>
        <v>0</v>
      </c>
      <c r="N228" s="1293">
        <f t="shared" si="76"/>
        <v>0</v>
      </c>
      <c r="O228" s="1293">
        <f aca="true" t="shared" si="77" ref="O228:V228">SUM(O229:O230)</f>
        <v>89833</v>
      </c>
      <c r="P228" s="2312">
        <f t="shared" si="77"/>
        <v>2706.308958</v>
      </c>
      <c r="Q228" s="1291">
        <f t="shared" si="77"/>
        <v>89833</v>
      </c>
      <c r="R228" s="1290">
        <f t="shared" si="77"/>
        <v>2706.308958</v>
      </c>
      <c r="S228" s="1289">
        <f t="shared" si="77"/>
        <v>0</v>
      </c>
      <c r="T228" s="1293">
        <f t="shared" si="77"/>
        <v>0</v>
      </c>
      <c r="U228" s="1293">
        <f t="shared" si="77"/>
        <v>0</v>
      </c>
      <c r="V228" s="1294">
        <f t="shared" si="77"/>
        <v>0</v>
      </c>
    </row>
    <row r="229" spans="1:22" ht="15" customHeight="1">
      <c r="A229" s="192"/>
      <c r="B229" s="1285" t="s">
        <v>340</v>
      </c>
      <c r="C229" s="883"/>
      <c r="D229" s="2305"/>
      <c r="E229" s="772"/>
      <c r="F229" s="139"/>
      <c r="G229" s="963">
        <v>50000</v>
      </c>
      <c r="H229" s="35">
        <f>G229*30.126/1000</f>
        <v>1506.3</v>
      </c>
      <c r="I229" s="9">
        <v>50000</v>
      </c>
      <c r="J229" s="9">
        <f>I229*30.126/1000</f>
        <v>1506.3</v>
      </c>
      <c r="K229" s="9"/>
      <c r="L229" s="9"/>
      <c r="M229" s="9"/>
      <c r="N229" s="9"/>
      <c r="O229" s="9">
        <v>50000</v>
      </c>
      <c r="P229" s="382">
        <f>O229*30.126/1000</f>
        <v>1506.3</v>
      </c>
      <c r="Q229" s="35">
        <v>50000</v>
      </c>
      <c r="R229" s="8">
        <f>Q229*30.126/1000</f>
        <v>1506.3</v>
      </c>
      <c r="S229" s="782"/>
      <c r="T229" s="9"/>
      <c r="U229" s="9"/>
      <c r="V229" s="139"/>
    </row>
    <row r="230" spans="1:22" s="11" customFormat="1" ht="15" customHeight="1" thickBot="1">
      <c r="A230" s="1072"/>
      <c r="B230" s="1295" t="s">
        <v>341</v>
      </c>
      <c r="C230" s="1296"/>
      <c r="D230" s="2368"/>
      <c r="E230" s="1756"/>
      <c r="F230" s="1298"/>
      <c r="G230" s="1158">
        <v>39833</v>
      </c>
      <c r="H230" s="1297">
        <f>G230*30.126/1000</f>
        <v>1200.0089580000001</v>
      </c>
      <c r="I230" s="1160">
        <v>39833</v>
      </c>
      <c r="J230" s="1160">
        <f>I230*30.126/1000</f>
        <v>1200.0089580000001</v>
      </c>
      <c r="K230" s="1160"/>
      <c r="L230" s="1160"/>
      <c r="M230" s="1160"/>
      <c r="N230" s="1160"/>
      <c r="O230" s="1160">
        <v>39833</v>
      </c>
      <c r="P230" s="1773">
        <f>O230*30.126/1000</f>
        <v>1200.0089580000001</v>
      </c>
      <c r="Q230" s="1156">
        <v>39833</v>
      </c>
      <c r="R230" s="1157">
        <f>Q230*30.126/1000</f>
        <v>1200.0089580000001</v>
      </c>
      <c r="S230" s="2519"/>
      <c r="T230" s="1160"/>
      <c r="U230" s="1160"/>
      <c r="V230" s="1298"/>
    </row>
    <row r="231" spans="5:22" ht="19.5" customHeight="1" thickBot="1">
      <c r="E231" s="6"/>
      <c r="F231" s="6"/>
      <c r="G231" s="6"/>
      <c r="H231" s="6"/>
      <c r="I231" s="6"/>
      <c r="J231" s="6"/>
      <c r="K231" s="6"/>
      <c r="L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s="23" customFormat="1" ht="39.75" customHeight="1" thickTop="1">
      <c r="A232" s="2905"/>
      <c r="B232" s="2934"/>
      <c r="C232" s="539" t="s">
        <v>506</v>
      </c>
      <c r="D232" s="2314" t="s">
        <v>507</v>
      </c>
      <c r="E232" s="2890" t="s">
        <v>184</v>
      </c>
      <c r="F232" s="2891"/>
      <c r="G232" s="460" t="s">
        <v>510</v>
      </c>
      <c r="H232" s="496" t="s">
        <v>510</v>
      </c>
      <c r="I232" s="497" t="s">
        <v>87</v>
      </c>
      <c r="J232" s="497" t="s">
        <v>87</v>
      </c>
      <c r="K232" s="2870" t="s">
        <v>509</v>
      </c>
      <c r="L232" s="2870"/>
      <c r="M232" s="2870" t="s">
        <v>508</v>
      </c>
      <c r="N232" s="2870"/>
      <c r="O232" s="498" t="s">
        <v>952</v>
      </c>
      <c r="P232" s="1571" t="s">
        <v>952</v>
      </c>
      <c r="Q232" s="2948" t="s">
        <v>183</v>
      </c>
      <c r="R232" s="2949"/>
      <c r="S232" s="2892" t="s">
        <v>725</v>
      </c>
      <c r="T232" s="2875"/>
      <c r="U232" s="2875" t="s">
        <v>726</v>
      </c>
      <c r="V232" s="2878"/>
    </row>
    <row r="233" spans="1:22" s="24" customFormat="1" ht="15" customHeight="1" thickBot="1">
      <c r="A233" s="2907"/>
      <c r="B233" s="2935"/>
      <c r="C233" s="540" t="s">
        <v>966</v>
      </c>
      <c r="D233" s="2315" t="s">
        <v>966</v>
      </c>
      <c r="E233" s="2318" t="s">
        <v>435</v>
      </c>
      <c r="F233" s="2234" t="s">
        <v>966</v>
      </c>
      <c r="G233" s="461" t="s">
        <v>435</v>
      </c>
      <c r="H233" s="352" t="s">
        <v>966</v>
      </c>
      <c r="I233" s="499" t="s">
        <v>435</v>
      </c>
      <c r="J233" s="499" t="s">
        <v>966</v>
      </c>
      <c r="K233" s="241" t="s">
        <v>435</v>
      </c>
      <c r="L233" s="241" t="s">
        <v>966</v>
      </c>
      <c r="M233" s="241" t="s">
        <v>435</v>
      </c>
      <c r="N233" s="241" t="s">
        <v>966</v>
      </c>
      <c r="O233" s="500" t="s">
        <v>435</v>
      </c>
      <c r="P233" s="1572" t="s">
        <v>966</v>
      </c>
      <c r="Q233" s="2250" t="s">
        <v>435</v>
      </c>
      <c r="R233" s="975" t="s">
        <v>966</v>
      </c>
      <c r="S233" s="797" t="s">
        <v>435</v>
      </c>
      <c r="T233" s="241" t="s">
        <v>966</v>
      </c>
      <c r="U233" s="241" t="s">
        <v>435</v>
      </c>
      <c r="V233" s="796" t="s">
        <v>966</v>
      </c>
    </row>
    <row r="234" spans="1:22" s="23" customFormat="1" ht="19.5" customHeight="1">
      <c r="A234" s="421" t="s">
        <v>353</v>
      </c>
      <c r="B234" s="793" t="s">
        <v>40</v>
      </c>
      <c r="C234" s="541">
        <f aca="true" t="shared" si="78" ref="C234:V234">C4+C201</f>
        <v>167376</v>
      </c>
      <c r="D234" s="1606">
        <f t="shared" si="78"/>
        <v>202472</v>
      </c>
      <c r="E234" s="2319">
        <f t="shared" si="78"/>
        <v>13027585</v>
      </c>
      <c r="F234" s="2320">
        <f t="shared" si="78"/>
        <v>392468.793588</v>
      </c>
      <c r="G234" s="493">
        <f t="shared" si="78"/>
        <v>9318391</v>
      </c>
      <c r="H234" s="502">
        <f t="shared" si="78"/>
        <v>280725.847266</v>
      </c>
      <c r="I234" s="487">
        <f t="shared" si="78"/>
        <v>9177274</v>
      </c>
      <c r="J234" s="487">
        <f t="shared" si="78"/>
        <v>276474.556524</v>
      </c>
      <c r="K234" s="487">
        <f t="shared" si="78"/>
        <v>7582979</v>
      </c>
      <c r="L234" s="487">
        <f t="shared" si="78"/>
        <v>228444.82535400006</v>
      </c>
      <c r="M234" s="487">
        <f t="shared" si="78"/>
        <v>7865016</v>
      </c>
      <c r="N234" s="487">
        <f t="shared" si="78"/>
        <v>236941.472016</v>
      </c>
      <c r="O234" s="487">
        <f t="shared" si="78"/>
        <v>8123520</v>
      </c>
      <c r="P234" s="1606">
        <f t="shared" si="78"/>
        <v>244729.16352</v>
      </c>
      <c r="Q234" s="2389">
        <f t="shared" si="78"/>
        <v>14057223</v>
      </c>
      <c r="R234" s="2390">
        <f t="shared" si="78"/>
        <v>423487.526758</v>
      </c>
      <c r="S234" s="541">
        <f t="shared" si="78"/>
        <v>12541653</v>
      </c>
      <c r="T234" s="487">
        <f t="shared" si="78"/>
        <v>377829.838278</v>
      </c>
      <c r="U234" s="487">
        <f t="shared" si="78"/>
        <v>12431199</v>
      </c>
      <c r="V234" s="503">
        <f t="shared" si="78"/>
        <v>374502.301074</v>
      </c>
    </row>
    <row r="235" spans="1:22" s="30" customFormat="1" ht="15" customHeight="1">
      <c r="A235" s="423"/>
      <c r="B235" s="794" t="s">
        <v>965</v>
      </c>
      <c r="C235" s="542">
        <f aca="true" t="shared" si="79" ref="C235:V235">C6+C185+C204</f>
        <v>141241</v>
      </c>
      <c r="D235" s="1607">
        <f t="shared" si="79"/>
        <v>155690</v>
      </c>
      <c r="E235" s="2321">
        <f t="shared" si="79"/>
        <v>11940759</v>
      </c>
      <c r="F235" s="2322">
        <f t="shared" si="79"/>
        <v>359727.40318</v>
      </c>
      <c r="G235" s="494">
        <f t="shared" si="79"/>
        <v>6847497</v>
      </c>
      <c r="H235" s="504">
        <f t="shared" si="79"/>
        <v>206287.694622</v>
      </c>
      <c r="I235" s="489">
        <f t="shared" si="79"/>
        <v>6736380</v>
      </c>
      <c r="J235" s="489">
        <f t="shared" si="79"/>
        <v>202940.18388</v>
      </c>
      <c r="K235" s="489">
        <f t="shared" si="79"/>
        <v>7104480</v>
      </c>
      <c r="L235" s="489">
        <f t="shared" si="79"/>
        <v>214029.56448000003</v>
      </c>
      <c r="M235" s="489">
        <f t="shared" si="79"/>
        <v>7428016</v>
      </c>
      <c r="N235" s="489">
        <f t="shared" si="79"/>
        <v>223776.410016</v>
      </c>
      <c r="O235" s="489">
        <f t="shared" si="79"/>
        <v>5682626</v>
      </c>
      <c r="P235" s="1607">
        <f t="shared" si="79"/>
        <v>171194.79087599998</v>
      </c>
      <c r="Q235" s="2419">
        <f t="shared" si="79"/>
        <v>11616329</v>
      </c>
      <c r="R235" s="2420">
        <f t="shared" si="79"/>
        <v>349953.154114</v>
      </c>
      <c r="S235" s="542">
        <f t="shared" si="79"/>
        <v>11604154</v>
      </c>
      <c r="T235" s="489">
        <f t="shared" si="79"/>
        <v>349586.743404</v>
      </c>
      <c r="U235" s="489">
        <f t="shared" si="79"/>
        <v>11595199</v>
      </c>
      <c r="V235" s="505">
        <f t="shared" si="79"/>
        <v>349316.965074</v>
      </c>
    </row>
    <row r="236" spans="1:22" s="30" customFormat="1" ht="15" customHeight="1" thickBot="1">
      <c r="A236" s="485"/>
      <c r="B236" s="795" t="s">
        <v>967</v>
      </c>
      <c r="C236" s="543">
        <f aca="true" t="shared" si="80" ref="C236:R236">C65+C219</f>
        <v>26135</v>
      </c>
      <c r="D236" s="1608">
        <f t="shared" si="80"/>
        <v>46782</v>
      </c>
      <c r="E236" s="2323">
        <f t="shared" si="80"/>
        <v>1086826</v>
      </c>
      <c r="F236" s="2324">
        <f t="shared" si="80"/>
        <v>32741.390408</v>
      </c>
      <c r="G236" s="495">
        <f t="shared" si="80"/>
        <v>2470894</v>
      </c>
      <c r="H236" s="506">
        <f t="shared" si="80"/>
        <v>74438.152644</v>
      </c>
      <c r="I236" s="491">
        <f t="shared" si="80"/>
        <v>2440894</v>
      </c>
      <c r="J236" s="491">
        <f t="shared" si="80"/>
        <v>73534.372644</v>
      </c>
      <c r="K236" s="491">
        <f t="shared" si="80"/>
        <v>478499</v>
      </c>
      <c r="L236" s="491">
        <f t="shared" si="80"/>
        <v>14415.260874</v>
      </c>
      <c r="M236" s="491">
        <f t="shared" si="80"/>
        <v>437000</v>
      </c>
      <c r="N236" s="491">
        <f t="shared" si="80"/>
        <v>13165.062000000002</v>
      </c>
      <c r="O236" s="491">
        <f t="shared" si="80"/>
        <v>2440894</v>
      </c>
      <c r="P236" s="1608">
        <f t="shared" si="80"/>
        <v>73534.372644</v>
      </c>
      <c r="Q236" s="2391">
        <f t="shared" si="80"/>
        <v>2440894</v>
      </c>
      <c r="R236" s="2392">
        <f t="shared" si="80"/>
        <v>73534.372644</v>
      </c>
      <c r="S236" s="543">
        <f>S65+S219</f>
        <v>937499</v>
      </c>
      <c r="T236" s="491">
        <f>T65+T219</f>
        <v>28243.094874</v>
      </c>
      <c r="U236" s="491">
        <f>U65+U219</f>
        <v>836000</v>
      </c>
      <c r="V236" s="507">
        <f>V65+V219</f>
        <v>25185.336</v>
      </c>
    </row>
    <row r="297" ht="12.75"/>
    <row r="298" ht="12.75"/>
    <row r="299" ht="12.75"/>
  </sheetData>
  <sheetProtection/>
  <mergeCells count="22">
    <mergeCell ref="Q199:R199"/>
    <mergeCell ref="Q232:R232"/>
    <mergeCell ref="U2:V2"/>
    <mergeCell ref="U199:V199"/>
    <mergeCell ref="U232:V232"/>
    <mergeCell ref="S2:T2"/>
    <mergeCell ref="S199:T199"/>
    <mergeCell ref="S232:T232"/>
    <mergeCell ref="Q2:R2"/>
    <mergeCell ref="A2:B3"/>
    <mergeCell ref="D136:D137"/>
    <mergeCell ref="M2:N2"/>
    <mergeCell ref="K2:L2"/>
    <mergeCell ref="E2:F2"/>
    <mergeCell ref="A232:B233"/>
    <mergeCell ref="K199:L199"/>
    <mergeCell ref="M199:N199"/>
    <mergeCell ref="K232:L232"/>
    <mergeCell ref="M232:N232"/>
    <mergeCell ref="E199:F199"/>
    <mergeCell ref="E232:F232"/>
    <mergeCell ref="A199:B200"/>
  </mergeCells>
  <printOptions horizontalCentered="1"/>
  <pageMargins left="0" right="0.7874015748031497" top="1.1811023622047245" bottom="0.7874015748031497" header="0" footer="0"/>
  <pageSetup horizontalDpi="600" verticalDpi="600" orientation="landscape" paperSize="9" scale="8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V180"/>
  <sheetViews>
    <sheetView showGridLines="0" zoomScalePageLayoutView="0" workbookViewId="0" topLeftCell="A1">
      <pane xSplit="2" ySplit="3" topLeftCell="E4" activePane="bottomRight" state="frozen"/>
      <selection pane="topLeft" activeCell="D4" sqref="D4"/>
      <selection pane="topRight" activeCell="D4" sqref="D4"/>
      <selection pane="bottomLeft" activeCell="D4" sqref="D4"/>
      <selection pane="bottomRight" activeCell="R77" sqref="R77"/>
    </sheetView>
  </sheetViews>
  <sheetFormatPr defaultColWidth="9.140625" defaultRowHeight="12.75"/>
  <cols>
    <col min="1" max="1" width="7.7109375" style="12" customWidth="1"/>
    <col min="2" max="2" width="67.28125" style="3" customWidth="1"/>
    <col min="3" max="3" width="10.28125" style="292" hidden="1" customWidth="1"/>
    <col min="4" max="4" width="10.7109375" style="292" hidden="1" customWidth="1"/>
    <col min="5" max="6" width="10.7109375" style="4" customWidth="1"/>
    <col min="7" max="12" width="10.7109375" style="4" hidden="1" customWidth="1"/>
    <col min="13" max="13" width="10.7109375" style="3" hidden="1" customWidth="1"/>
    <col min="14" max="16" width="10.7109375" style="4" hidden="1" customWidth="1"/>
    <col min="17" max="22" width="10.7109375" style="4" customWidth="1"/>
    <col min="23" max="16384" width="9.140625" style="3" customWidth="1"/>
  </cols>
  <sheetData>
    <row r="1" ht="20.25" hidden="1" thickBot="1">
      <c r="A1" s="237" t="s">
        <v>1122</v>
      </c>
    </row>
    <row r="2" spans="1:22" s="30" customFormat="1" ht="39.75" customHeight="1" thickTop="1">
      <c r="A2" s="2952"/>
      <c r="B2" s="2953"/>
      <c r="C2" s="776" t="s">
        <v>506</v>
      </c>
      <c r="D2" s="452" t="s">
        <v>507</v>
      </c>
      <c r="E2" s="2890" t="s">
        <v>184</v>
      </c>
      <c r="F2" s="2891"/>
      <c r="G2" s="1101" t="s">
        <v>510</v>
      </c>
      <c r="H2" s="1001" t="s">
        <v>510</v>
      </c>
      <c r="I2" s="826" t="s">
        <v>87</v>
      </c>
      <c r="J2" s="826" t="s">
        <v>87</v>
      </c>
      <c r="K2" s="2871" t="s">
        <v>509</v>
      </c>
      <c r="L2" s="2871"/>
      <c r="M2" s="2871" t="s">
        <v>508</v>
      </c>
      <c r="N2" s="2871"/>
      <c r="O2" s="824" t="s">
        <v>952</v>
      </c>
      <c r="P2" s="1579" t="s">
        <v>952</v>
      </c>
      <c r="Q2" s="2859" t="s">
        <v>183</v>
      </c>
      <c r="R2" s="2860"/>
      <c r="S2" s="2865" t="s">
        <v>725</v>
      </c>
      <c r="T2" s="2863"/>
      <c r="U2" s="2863" t="s">
        <v>726</v>
      </c>
      <c r="V2" s="2864"/>
    </row>
    <row r="3" spans="1:22" s="24" customFormat="1" ht="15" customHeight="1" thickBot="1">
      <c r="A3" s="2954"/>
      <c r="B3" s="2955"/>
      <c r="C3" s="777" t="s">
        <v>966</v>
      </c>
      <c r="D3" s="453" t="s">
        <v>966</v>
      </c>
      <c r="E3" s="768" t="s">
        <v>435</v>
      </c>
      <c r="F3" s="307" t="s">
        <v>966</v>
      </c>
      <c r="G3" s="571" t="s">
        <v>435</v>
      </c>
      <c r="H3" s="238" t="s">
        <v>966</v>
      </c>
      <c r="I3" s="995" t="s">
        <v>435</v>
      </c>
      <c r="J3" s="995" t="s">
        <v>966</v>
      </c>
      <c r="K3" s="239" t="s">
        <v>435</v>
      </c>
      <c r="L3" s="239" t="s">
        <v>966</v>
      </c>
      <c r="M3" s="239" t="s">
        <v>435</v>
      </c>
      <c r="N3" s="239" t="s">
        <v>966</v>
      </c>
      <c r="O3" s="996" t="s">
        <v>435</v>
      </c>
      <c r="P3" s="1580" t="s">
        <v>966</v>
      </c>
      <c r="Q3" s="238" t="s">
        <v>435</v>
      </c>
      <c r="R3" s="993" t="s">
        <v>966</v>
      </c>
      <c r="S3" s="2117" t="s">
        <v>435</v>
      </c>
      <c r="T3" s="239" t="s">
        <v>966</v>
      </c>
      <c r="U3" s="239" t="s">
        <v>435</v>
      </c>
      <c r="V3" s="307" t="s">
        <v>966</v>
      </c>
    </row>
    <row r="4" spans="1:22" s="23" customFormat="1" ht="19.5" customHeight="1">
      <c r="A4" s="182" t="s">
        <v>354</v>
      </c>
      <c r="B4" s="830" t="s">
        <v>1105</v>
      </c>
      <c r="C4" s="778">
        <f aca="true" t="shared" si="0" ref="C4:R4">C5+C20</f>
        <v>60566</v>
      </c>
      <c r="D4" s="454">
        <f t="shared" si="0"/>
        <v>65114</v>
      </c>
      <c r="E4" s="850">
        <f t="shared" si="0"/>
        <v>1585604</v>
      </c>
      <c r="F4" s="665">
        <f t="shared" si="0"/>
        <v>47767.90610400001</v>
      </c>
      <c r="G4" s="530">
        <f t="shared" si="0"/>
        <v>1481227</v>
      </c>
      <c r="H4" s="107">
        <f t="shared" si="0"/>
        <v>44623.444602</v>
      </c>
      <c r="I4" s="109">
        <f t="shared" si="0"/>
        <v>1454522</v>
      </c>
      <c r="J4" s="109">
        <f t="shared" si="0"/>
        <v>43818.929771999996</v>
      </c>
      <c r="K4" s="109">
        <f t="shared" si="0"/>
        <v>2495752</v>
      </c>
      <c r="L4" s="109">
        <f t="shared" si="0"/>
        <v>75187.024752</v>
      </c>
      <c r="M4" s="109">
        <f t="shared" si="0"/>
        <v>2795420</v>
      </c>
      <c r="N4" s="109">
        <f t="shared" si="0"/>
        <v>84214.82292</v>
      </c>
      <c r="O4" s="109">
        <f t="shared" si="0"/>
        <v>1454522</v>
      </c>
      <c r="P4" s="454">
        <f t="shared" si="0"/>
        <v>43818.929771999996</v>
      </c>
      <c r="Q4" s="107">
        <f t="shared" si="0"/>
        <v>1439659</v>
      </c>
      <c r="R4" s="108">
        <f t="shared" si="0"/>
        <v>43371.167034</v>
      </c>
      <c r="S4" s="778">
        <f>S5+S20</f>
        <v>1439659</v>
      </c>
      <c r="T4" s="109">
        <f>T5+T20</f>
        <v>43371.167034</v>
      </c>
      <c r="U4" s="109">
        <f>U5+U20</f>
        <v>1439659</v>
      </c>
      <c r="V4" s="665">
        <f>V5+V20</f>
        <v>43371.167034</v>
      </c>
    </row>
    <row r="5" spans="1:22" s="30" customFormat="1" ht="19.5" customHeight="1">
      <c r="A5" s="183" t="s">
        <v>1106</v>
      </c>
      <c r="B5" s="831" t="s">
        <v>1115</v>
      </c>
      <c r="C5" s="779">
        <f>C6</f>
        <v>2233</v>
      </c>
      <c r="D5" s="455">
        <f>D6</f>
        <v>2449</v>
      </c>
      <c r="E5" s="769">
        <f>E6</f>
        <v>71367</v>
      </c>
      <c r="F5" s="479">
        <f>F6</f>
        <v>2150.002242</v>
      </c>
      <c r="G5" s="463">
        <f aca="true" t="shared" si="1" ref="G5:R5">G6</f>
        <v>71837</v>
      </c>
      <c r="H5" s="447">
        <f t="shared" si="1"/>
        <v>2164.161462</v>
      </c>
      <c r="I5" s="28">
        <f t="shared" si="1"/>
        <v>70630</v>
      </c>
      <c r="J5" s="28">
        <f t="shared" si="1"/>
        <v>2127.79938</v>
      </c>
      <c r="K5" s="28">
        <f t="shared" si="1"/>
        <v>75357</v>
      </c>
      <c r="L5" s="28">
        <f t="shared" si="1"/>
        <v>2270.2049819999997</v>
      </c>
      <c r="M5" s="28">
        <f t="shared" si="1"/>
        <v>89916</v>
      </c>
      <c r="N5" s="28">
        <f t="shared" si="1"/>
        <v>2708.809416</v>
      </c>
      <c r="O5" s="28">
        <f t="shared" si="1"/>
        <v>70630</v>
      </c>
      <c r="P5" s="455">
        <f t="shared" si="1"/>
        <v>2127.79938</v>
      </c>
      <c r="Q5" s="19">
        <f t="shared" si="1"/>
        <v>70630</v>
      </c>
      <c r="R5" s="17">
        <f t="shared" si="1"/>
        <v>2127.79938</v>
      </c>
      <c r="S5" s="779">
        <f>S6</f>
        <v>70630</v>
      </c>
      <c r="T5" s="28">
        <f>T6</f>
        <v>2127.79938</v>
      </c>
      <c r="U5" s="28">
        <f>U6</f>
        <v>70630</v>
      </c>
      <c r="V5" s="479">
        <f>V6</f>
        <v>2127.79938</v>
      </c>
    </row>
    <row r="6" spans="1:22" s="30" customFormat="1" ht="19.5" customHeight="1">
      <c r="A6" s="137" t="s">
        <v>1107</v>
      </c>
      <c r="B6" s="832" t="s">
        <v>965</v>
      </c>
      <c r="C6" s="780">
        <f aca="true" t="shared" si="2" ref="C6:N6">C7+C11</f>
        <v>2233</v>
      </c>
      <c r="D6" s="456">
        <f t="shared" si="2"/>
        <v>2449</v>
      </c>
      <c r="E6" s="770">
        <f t="shared" si="2"/>
        <v>71367</v>
      </c>
      <c r="F6" s="480">
        <f t="shared" si="2"/>
        <v>2150.002242</v>
      </c>
      <c r="G6" s="464">
        <f t="shared" si="2"/>
        <v>71837</v>
      </c>
      <c r="H6" s="20">
        <f t="shared" si="2"/>
        <v>2164.161462</v>
      </c>
      <c r="I6" s="29">
        <f t="shared" si="2"/>
        <v>70630</v>
      </c>
      <c r="J6" s="29">
        <f t="shared" si="2"/>
        <v>2127.79938</v>
      </c>
      <c r="K6" s="29">
        <f t="shared" si="2"/>
        <v>75357</v>
      </c>
      <c r="L6" s="29">
        <f t="shared" si="2"/>
        <v>2270.2049819999997</v>
      </c>
      <c r="M6" s="29">
        <f t="shared" si="2"/>
        <v>89916</v>
      </c>
      <c r="N6" s="29">
        <f t="shared" si="2"/>
        <v>2708.809416</v>
      </c>
      <c r="O6" s="29">
        <f>O7+O11</f>
        <v>70630</v>
      </c>
      <c r="P6" s="456">
        <f>P7+P11</f>
        <v>2127.79938</v>
      </c>
      <c r="Q6" s="20">
        <f>Q7+Q11</f>
        <v>70630</v>
      </c>
      <c r="R6" s="18">
        <f>R7+R11</f>
        <v>2127.79938</v>
      </c>
      <c r="S6" s="780">
        <v>70630</v>
      </c>
      <c r="T6" s="29">
        <f>S6*30.126/1000</f>
        <v>2127.79938</v>
      </c>
      <c r="U6" s="29">
        <v>70630</v>
      </c>
      <c r="V6" s="480">
        <f>U6*30.126/1000</f>
        <v>2127.79938</v>
      </c>
    </row>
    <row r="7" spans="1:22" s="6" customFormat="1" ht="15" customHeight="1">
      <c r="A7" s="184" t="s">
        <v>1164</v>
      </c>
      <c r="B7" s="833" t="s">
        <v>1116</v>
      </c>
      <c r="C7" s="781">
        <f aca="true" t="shared" si="3" ref="C7:N7">SUM(C8:C10)</f>
        <v>593</v>
      </c>
      <c r="D7" s="457">
        <f t="shared" si="3"/>
        <v>980</v>
      </c>
      <c r="E7" s="771">
        <f t="shared" si="3"/>
        <v>21576</v>
      </c>
      <c r="F7" s="185">
        <f t="shared" si="3"/>
        <v>649.998576</v>
      </c>
      <c r="G7" s="465">
        <f t="shared" si="3"/>
        <v>21637</v>
      </c>
      <c r="H7" s="469">
        <f t="shared" si="3"/>
        <v>651.836262</v>
      </c>
      <c r="I7" s="47">
        <f t="shared" si="3"/>
        <v>21130</v>
      </c>
      <c r="J7" s="47">
        <f t="shared" si="3"/>
        <v>636.56238</v>
      </c>
      <c r="K7" s="47">
        <f t="shared" si="3"/>
        <v>24597</v>
      </c>
      <c r="L7" s="47">
        <f t="shared" si="3"/>
        <v>741.009222</v>
      </c>
      <c r="M7" s="47">
        <f t="shared" si="3"/>
        <v>38256</v>
      </c>
      <c r="N7" s="47">
        <f t="shared" si="3"/>
        <v>1152.500256</v>
      </c>
      <c r="O7" s="47">
        <f>SUM(O8:O10)</f>
        <v>21130</v>
      </c>
      <c r="P7" s="457">
        <f>SUM(P8:P10)</f>
        <v>636.56238</v>
      </c>
      <c r="Q7" s="1225">
        <f>SUM(Q8:Q10)</f>
        <v>21130</v>
      </c>
      <c r="R7" s="46">
        <f>SUM(R8:R10)</f>
        <v>636.56238</v>
      </c>
      <c r="S7" s="781"/>
      <c r="T7" s="47"/>
      <c r="U7" s="47"/>
      <c r="V7" s="185"/>
    </row>
    <row r="8" spans="1:22" s="6" customFormat="1" ht="15" customHeight="1">
      <c r="A8" s="186"/>
      <c r="B8" s="834" t="s">
        <v>1117</v>
      </c>
      <c r="C8" s="803">
        <v>300</v>
      </c>
      <c r="D8" s="1524">
        <v>250</v>
      </c>
      <c r="E8" s="772">
        <v>6639</v>
      </c>
      <c r="F8" s="139">
        <f>(E8*30.126)/1000</f>
        <v>200.00651399999998</v>
      </c>
      <c r="G8" s="446">
        <v>6700</v>
      </c>
      <c r="H8" s="470">
        <f>G8*30.126/1000</f>
        <v>201.8442</v>
      </c>
      <c r="I8" s="9">
        <v>6630</v>
      </c>
      <c r="J8" s="9">
        <f>I8*30.126/1000</f>
        <v>199.73538</v>
      </c>
      <c r="K8" s="9">
        <v>8000</v>
      </c>
      <c r="L8" s="9">
        <f>K8*30.126/1000</f>
        <v>241.008</v>
      </c>
      <c r="M8" s="9">
        <v>10000</v>
      </c>
      <c r="N8" s="9">
        <f>M8*30.126/1000</f>
        <v>301.26</v>
      </c>
      <c r="O8" s="9">
        <v>6630</v>
      </c>
      <c r="P8" s="382">
        <f>O8*30.126/1000</f>
        <v>199.73538</v>
      </c>
      <c r="Q8" s="35">
        <v>6630</v>
      </c>
      <c r="R8" s="8">
        <f>Q8*30.126/1000</f>
        <v>199.73538</v>
      </c>
      <c r="S8" s="782"/>
      <c r="T8" s="9"/>
      <c r="U8" s="9"/>
      <c r="V8" s="139"/>
    </row>
    <row r="9" spans="1:22" s="6" customFormat="1" ht="15" customHeight="1">
      <c r="A9" s="186"/>
      <c r="B9" s="834" t="s">
        <v>1118</v>
      </c>
      <c r="C9" s="803">
        <v>293</v>
      </c>
      <c r="D9" s="1524">
        <v>473</v>
      </c>
      <c r="E9" s="772">
        <v>14937</v>
      </c>
      <c r="F9" s="139">
        <f>(E9*30.126)/1000</f>
        <v>449.99206200000003</v>
      </c>
      <c r="G9" s="446">
        <v>14937</v>
      </c>
      <c r="H9" s="470">
        <f>G9*30.126/1000</f>
        <v>449.99206200000003</v>
      </c>
      <c r="I9" s="9">
        <v>14500</v>
      </c>
      <c r="J9" s="9">
        <f>I9*30.126/1000</f>
        <v>436.827</v>
      </c>
      <c r="K9" s="9">
        <v>16597</v>
      </c>
      <c r="L9" s="9">
        <f>K9*30.126/1000</f>
        <v>500.001222</v>
      </c>
      <c r="M9" s="9">
        <v>18256</v>
      </c>
      <c r="N9" s="9">
        <f>M9*30.126/1000</f>
        <v>549.980256</v>
      </c>
      <c r="O9" s="9">
        <v>14500</v>
      </c>
      <c r="P9" s="382">
        <f>O9*30.126/1000</f>
        <v>436.827</v>
      </c>
      <c r="Q9" s="35">
        <v>14500</v>
      </c>
      <c r="R9" s="8">
        <f>Q9*30.126/1000</f>
        <v>436.827</v>
      </c>
      <c r="S9" s="782"/>
      <c r="T9" s="9"/>
      <c r="U9" s="9"/>
      <c r="V9" s="139"/>
    </row>
    <row r="10" spans="1:22" s="6" customFormat="1" ht="15" customHeight="1" hidden="1">
      <c r="A10" s="186"/>
      <c r="B10" s="834" t="s">
        <v>1119</v>
      </c>
      <c r="C10" s="803"/>
      <c r="D10" s="1524">
        <v>257</v>
      </c>
      <c r="E10" s="772"/>
      <c r="F10" s="139"/>
      <c r="G10" s="446"/>
      <c r="H10" s="470"/>
      <c r="I10" s="9"/>
      <c r="J10" s="9">
        <f>I10*30.126/1000</f>
        <v>0</v>
      </c>
      <c r="K10" s="9"/>
      <c r="L10" s="9"/>
      <c r="M10" s="9">
        <v>10000</v>
      </c>
      <c r="N10" s="9">
        <f>M10*30.126/1000</f>
        <v>301.26</v>
      </c>
      <c r="O10" s="9"/>
      <c r="P10" s="382">
        <f>O10*30.126/1000</f>
        <v>0</v>
      </c>
      <c r="Q10" s="35"/>
      <c r="R10" s="8">
        <f>Q10*30.126/1000</f>
        <v>0</v>
      </c>
      <c r="S10" s="782"/>
      <c r="T10" s="9"/>
      <c r="U10" s="9"/>
      <c r="V10" s="139"/>
    </row>
    <row r="11" spans="1:22" s="6" customFormat="1" ht="15" customHeight="1">
      <c r="A11" s="187" t="s">
        <v>1165</v>
      </c>
      <c r="B11" s="835" t="s">
        <v>34</v>
      </c>
      <c r="C11" s="782">
        <f aca="true" t="shared" si="4" ref="C11:N11">SUM(C12:C19)</f>
        <v>1640</v>
      </c>
      <c r="D11" s="382">
        <f t="shared" si="4"/>
        <v>1469</v>
      </c>
      <c r="E11" s="772">
        <v>49791</v>
      </c>
      <c r="F11" s="139">
        <f t="shared" si="4"/>
        <v>1500.003666</v>
      </c>
      <c r="G11" s="446">
        <f t="shared" si="4"/>
        <v>50200</v>
      </c>
      <c r="H11" s="470">
        <f t="shared" si="4"/>
        <v>1512.3251999999998</v>
      </c>
      <c r="I11" s="9">
        <f t="shared" si="4"/>
        <v>49500</v>
      </c>
      <c r="J11" s="9">
        <f t="shared" si="4"/>
        <v>1491.237</v>
      </c>
      <c r="K11" s="9">
        <f t="shared" si="4"/>
        <v>50760</v>
      </c>
      <c r="L11" s="9">
        <f t="shared" si="4"/>
        <v>1529.1957599999998</v>
      </c>
      <c r="M11" s="9">
        <f t="shared" si="4"/>
        <v>51660</v>
      </c>
      <c r="N11" s="9">
        <f t="shared" si="4"/>
        <v>1556.30916</v>
      </c>
      <c r="O11" s="9">
        <f>SUM(O12:O19)</f>
        <v>49500</v>
      </c>
      <c r="P11" s="382">
        <f>SUM(P12:P19)</f>
        <v>1491.237</v>
      </c>
      <c r="Q11" s="35">
        <f>SUM(Q12:Q19)</f>
        <v>49500</v>
      </c>
      <c r="R11" s="8">
        <f>SUM(R12:R19)</f>
        <v>1491.237</v>
      </c>
      <c r="S11" s="782"/>
      <c r="T11" s="9"/>
      <c r="U11" s="9"/>
      <c r="V11" s="139"/>
    </row>
    <row r="12" spans="1:22" s="6" customFormat="1" ht="15" customHeight="1">
      <c r="A12" s="186"/>
      <c r="B12" s="834" t="s">
        <v>1120</v>
      </c>
      <c r="C12" s="803">
        <v>650</v>
      </c>
      <c r="D12" s="1524">
        <v>650</v>
      </c>
      <c r="E12" s="772">
        <v>21575</v>
      </c>
      <c r="F12" s="139">
        <f>(E12*30.126)/1000</f>
        <v>649.9684500000001</v>
      </c>
      <c r="G12" s="446">
        <v>21576</v>
      </c>
      <c r="H12" s="470">
        <f>G12*30.126/1000</f>
        <v>649.998576</v>
      </c>
      <c r="I12" s="9">
        <v>21570</v>
      </c>
      <c r="J12" s="9">
        <f>I12*30.126/1000</f>
        <v>649.8178200000001</v>
      </c>
      <c r="K12" s="9">
        <v>21600</v>
      </c>
      <c r="L12" s="9">
        <f>K12*30.126/1000</f>
        <v>650.7216</v>
      </c>
      <c r="M12" s="9">
        <v>21600</v>
      </c>
      <c r="N12" s="9">
        <f>M12*30.126/1000</f>
        <v>650.7216</v>
      </c>
      <c r="O12" s="9">
        <v>21570</v>
      </c>
      <c r="P12" s="382">
        <f>O12*30.126/1000</f>
        <v>649.8178200000001</v>
      </c>
      <c r="Q12" s="35">
        <v>21570</v>
      </c>
      <c r="R12" s="8">
        <f>Q12*30.126/1000</f>
        <v>649.8178200000001</v>
      </c>
      <c r="S12" s="782"/>
      <c r="T12" s="9"/>
      <c r="U12" s="9"/>
      <c r="V12" s="139"/>
    </row>
    <row r="13" spans="1:22" s="6" customFormat="1" ht="15" customHeight="1">
      <c r="A13" s="186"/>
      <c r="B13" s="834" t="s">
        <v>1121</v>
      </c>
      <c r="C13" s="803">
        <v>400</v>
      </c>
      <c r="D13" s="1524">
        <v>344</v>
      </c>
      <c r="E13" s="772">
        <v>13278</v>
      </c>
      <c r="F13" s="139">
        <f aca="true" t="shared" si="5" ref="F13:F19">(E13*30.126)/1000</f>
        <v>400.01302799999996</v>
      </c>
      <c r="G13" s="446">
        <v>13300</v>
      </c>
      <c r="H13" s="470">
        <f aca="true" t="shared" si="6" ref="H13:H19">G13*30.126/1000</f>
        <v>400.6758</v>
      </c>
      <c r="I13" s="9">
        <v>13270</v>
      </c>
      <c r="J13" s="9">
        <f aca="true" t="shared" si="7" ref="J13:J19">I13*30.126/1000</f>
        <v>399.77202</v>
      </c>
      <c r="K13" s="9">
        <v>13800</v>
      </c>
      <c r="L13" s="9">
        <f aca="true" t="shared" si="8" ref="L13:L19">K13*30.126/1000</f>
        <v>415.73879999999997</v>
      </c>
      <c r="M13" s="9">
        <v>14000</v>
      </c>
      <c r="N13" s="9">
        <f aca="true" t="shared" si="9" ref="N13:N19">M13*30.126/1000</f>
        <v>421.764</v>
      </c>
      <c r="O13" s="9">
        <v>13270</v>
      </c>
      <c r="P13" s="382">
        <f>O13*30.126/1000</f>
        <v>399.77202</v>
      </c>
      <c r="Q13" s="35">
        <v>13270</v>
      </c>
      <c r="R13" s="8">
        <f>Q13*30.126/1000</f>
        <v>399.77202</v>
      </c>
      <c r="S13" s="782"/>
      <c r="T13" s="9"/>
      <c r="U13" s="9"/>
      <c r="V13" s="139"/>
    </row>
    <row r="14" spans="1:22" s="6" customFormat="1" ht="15" customHeight="1">
      <c r="A14" s="186"/>
      <c r="B14" s="834" t="s">
        <v>533</v>
      </c>
      <c r="C14" s="803">
        <v>100</v>
      </c>
      <c r="D14" s="1524">
        <v>70</v>
      </c>
      <c r="E14" s="772">
        <v>2324</v>
      </c>
      <c r="F14" s="139">
        <f t="shared" si="5"/>
        <v>70.01282400000001</v>
      </c>
      <c r="G14" s="446">
        <v>2324</v>
      </c>
      <c r="H14" s="470">
        <f t="shared" si="6"/>
        <v>70.01282400000001</v>
      </c>
      <c r="I14" s="9">
        <v>2000</v>
      </c>
      <c r="J14" s="9">
        <f t="shared" si="7"/>
        <v>60.252</v>
      </c>
      <c r="K14" s="9">
        <v>1660</v>
      </c>
      <c r="L14" s="9">
        <f t="shared" si="8"/>
        <v>50.00916</v>
      </c>
      <c r="M14" s="9">
        <v>1660</v>
      </c>
      <c r="N14" s="9">
        <f t="shared" si="9"/>
        <v>50.00916</v>
      </c>
      <c r="O14" s="9">
        <v>2000</v>
      </c>
      <c r="P14" s="382">
        <f>O14*30.126/1000</f>
        <v>60.252</v>
      </c>
      <c r="Q14" s="35">
        <v>2000</v>
      </c>
      <c r="R14" s="8">
        <f>Q14*30.126/1000</f>
        <v>60.252</v>
      </c>
      <c r="S14" s="782"/>
      <c r="T14" s="9"/>
      <c r="U14" s="9"/>
      <c r="V14" s="139"/>
    </row>
    <row r="15" spans="1:22" s="6" customFormat="1" ht="15" customHeight="1" hidden="1">
      <c r="A15" s="186"/>
      <c r="B15" s="834" t="s">
        <v>1124</v>
      </c>
      <c r="C15" s="803">
        <v>150</v>
      </c>
      <c r="D15" s="1524"/>
      <c r="E15" s="772"/>
      <c r="F15" s="139"/>
      <c r="G15" s="446"/>
      <c r="H15" s="470"/>
      <c r="I15" s="9"/>
      <c r="J15" s="9"/>
      <c r="K15" s="9"/>
      <c r="L15" s="9"/>
      <c r="M15" s="9"/>
      <c r="N15" s="9"/>
      <c r="O15" s="9"/>
      <c r="P15" s="382"/>
      <c r="Q15" s="35"/>
      <c r="R15" s="8"/>
      <c r="S15" s="782"/>
      <c r="T15" s="9"/>
      <c r="U15" s="9"/>
      <c r="V15" s="139"/>
    </row>
    <row r="16" spans="1:22" s="6" customFormat="1" ht="15" customHeight="1" hidden="1">
      <c r="A16" s="186"/>
      <c r="B16" s="834" t="s">
        <v>1125</v>
      </c>
      <c r="C16" s="803">
        <v>20</v>
      </c>
      <c r="D16" s="1524">
        <v>20</v>
      </c>
      <c r="E16" s="772"/>
      <c r="F16" s="139"/>
      <c r="G16" s="446"/>
      <c r="H16" s="470"/>
      <c r="I16" s="9"/>
      <c r="J16" s="9"/>
      <c r="K16" s="9"/>
      <c r="L16" s="9"/>
      <c r="M16" s="9"/>
      <c r="N16" s="9"/>
      <c r="O16" s="9"/>
      <c r="P16" s="382"/>
      <c r="Q16" s="35"/>
      <c r="R16" s="8"/>
      <c r="S16" s="782"/>
      <c r="T16" s="9"/>
      <c r="U16" s="9"/>
      <c r="V16" s="139"/>
    </row>
    <row r="17" spans="1:22" s="6" customFormat="1" ht="15" customHeight="1">
      <c r="A17" s="186"/>
      <c r="B17" s="834" t="s">
        <v>1126</v>
      </c>
      <c r="C17" s="803">
        <v>150</v>
      </c>
      <c r="D17" s="1524">
        <v>200</v>
      </c>
      <c r="E17" s="772">
        <v>6639</v>
      </c>
      <c r="F17" s="139">
        <f t="shared" si="5"/>
        <v>200.00651399999998</v>
      </c>
      <c r="G17" s="446">
        <v>7000</v>
      </c>
      <c r="H17" s="470">
        <f t="shared" si="6"/>
        <v>210.882</v>
      </c>
      <c r="I17" s="9">
        <v>7000</v>
      </c>
      <c r="J17" s="9">
        <f t="shared" si="7"/>
        <v>210.882</v>
      </c>
      <c r="K17" s="9">
        <v>7500</v>
      </c>
      <c r="L17" s="9">
        <f t="shared" si="8"/>
        <v>225.945</v>
      </c>
      <c r="M17" s="9">
        <v>8000</v>
      </c>
      <c r="N17" s="9">
        <f t="shared" si="9"/>
        <v>241.008</v>
      </c>
      <c r="O17" s="9">
        <v>7000</v>
      </c>
      <c r="P17" s="382">
        <f>O17*30.126/1000</f>
        <v>210.882</v>
      </c>
      <c r="Q17" s="35">
        <v>7000</v>
      </c>
      <c r="R17" s="8">
        <f>Q17*30.126/1000</f>
        <v>210.882</v>
      </c>
      <c r="S17" s="782"/>
      <c r="T17" s="9"/>
      <c r="U17" s="9"/>
      <c r="V17" s="139"/>
    </row>
    <row r="18" spans="1:22" s="6" customFormat="1" ht="15" customHeight="1">
      <c r="A18" s="186"/>
      <c r="B18" s="834" t="s">
        <v>1127</v>
      </c>
      <c r="C18" s="803">
        <v>50</v>
      </c>
      <c r="D18" s="1524">
        <v>60</v>
      </c>
      <c r="E18" s="772">
        <v>1992</v>
      </c>
      <c r="F18" s="139">
        <f t="shared" si="5"/>
        <v>60.01099200000001</v>
      </c>
      <c r="G18" s="446">
        <v>2000</v>
      </c>
      <c r="H18" s="470">
        <f t="shared" si="6"/>
        <v>60.252</v>
      </c>
      <c r="I18" s="9">
        <v>1660</v>
      </c>
      <c r="J18" s="9">
        <f t="shared" si="7"/>
        <v>50.00916</v>
      </c>
      <c r="K18" s="9">
        <v>2100</v>
      </c>
      <c r="L18" s="9">
        <f t="shared" si="8"/>
        <v>63.26460000000001</v>
      </c>
      <c r="M18" s="9">
        <v>2200</v>
      </c>
      <c r="N18" s="9">
        <f t="shared" si="9"/>
        <v>66.2772</v>
      </c>
      <c r="O18" s="9">
        <v>1660</v>
      </c>
      <c r="P18" s="382">
        <f>O18*30.126/1000</f>
        <v>50.00916</v>
      </c>
      <c r="Q18" s="35">
        <v>1660</v>
      </c>
      <c r="R18" s="8">
        <f>Q18*30.126/1000</f>
        <v>50.00916</v>
      </c>
      <c r="S18" s="782"/>
      <c r="T18" s="9"/>
      <c r="U18" s="9"/>
      <c r="V18" s="139"/>
    </row>
    <row r="19" spans="1:22" s="6" customFormat="1" ht="15" customHeight="1">
      <c r="A19" s="188"/>
      <c r="B19" s="834" t="s">
        <v>1128</v>
      </c>
      <c r="C19" s="803">
        <v>120</v>
      </c>
      <c r="D19" s="1524">
        <v>125</v>
      </c>
      <c r="E19" s="772">
        <v>3983</v>
      </c>
      <c r="F19" s="139">
        <f t="shared" si="5"/>
        <v>119.99185800000001</v>
      </c>
      <c r="G19" s="446">
        <v>4000</v>
      </c>
      <c r="H19" s="470">
        <f t="shared" si="6"/>
        <v>120.504</v>
      </c>
      <c r="I19" s="9">
        <v>4000</v>
      </c>
      <c r="J19" s="9">
        <f t="shared" si="7"/>
        <v>120.504</v>
      </c>
      <c r="K19" s="9">
        <v>4100</v>
      </c>
      <c r="L19" s="9">
        <f t="shared" si="8"/>
        <v>123.51660000000001</v>
      </c>
      <c r="M19" s="9">
        <v>4200</v>
      </c>
      <c r="N19" s="9">
        <f t="shared" si="9"/>
        <v>126.52920000000002</v>
      </c>
      <c r="O19" s="9">
        <v>4000</v>
      </c>
      <c r="P19" s="382">
        <f>O19*30.126/1000</f>
        <v>120.504</v>
      </c>
      <c r="Q19" s="35">
        <v>4000</v>
      </c>
      <c r="R19" s="8">
        <f>Q19*30.126/1000</f>
        <v>120.504</v>
      </c>
      <c r="S19" s="782"/>
      <c r="T19" s="9"/>
      <c r="U19" s="9"/>
      <c r="V19" s="139"/>
    </row>
    <row r="20" spans="1:22" s="30" customFormat="1" ht="19.5" customHeight="1">
      <c r="A20" s="183" t="s">
        <v>1109</v>
      </c>
      <c r="B20" s="831" t="s">
        <v>1157</v>
      </c>
      <c r="C20" s="779">
        <f aca="true" t="shared" si="10" ref="C20:N20">C21+C23</f>
        <v>58333</v>
      </c>
      <c r="D20" s="455">
        <f t="shared" si="10"/>
        <v>62665</v>
      </c>
      <c r="E20" s="769">
        <f t="shared" si="10"/>
        <v>1514237</v>
      </c>
      <c r="F20" s="479">
        <f t="shared" si="10"/>
        <v>45617.90386200001</v>
      </c>
      <c r="G20" s="463">
        <f t="shared" si="10"/>
        <v>1409390</v>
      </c>
      <c r="H20" s="447">
        <f t="shared" si="10"/>
        <v>42459.28314</v>
      </c>
      <c r="I20" s="28">
        <f t="shared" si="10"/>
        <v>1383892</v>
      </c>
      <c r="J20" s="28">
        <f t="shared" si="10"/>
        <v>41691.130392</v>
      </c>
      <c r="K20" s="28">
        <f t="shared" si="10"/>
        <v>2420395</v>
      </c>
      <c r="L20" s="28">
        <f t="shared" si="10"/>
        <v>72916.81977</v>
      </c>
      <c r="M20" s="28">
        <f t="shared" si="10"/>
        <v>2705504</v>
      </c>
      <c r="N20" s="28">
        <f t="shared" si="10"/>
        <v>81506.013504</v>
      </c>
      <c r="O20" s="28">
        <f aca="true" t="shared" si="11" ref="O20:V20">O21+O23</f>
        <v>1383892</v>
      </c>
      <c r="P20" s="455">
        <f t="shared" si="11"/>
        <v>41691.130392</v>
      </c>
      <c r="Q20" s="19">
        <f t="shared" si="11"/>
        <v>1369029</v>
      </c>
      <c r="R20" s="17">
        <f t="shared" si="11"/>
        <v>41243.367654</v>
      </c>
      <c r="S20" s="779">
        <f t="shared" si="11"/>
        <v>1369029</v>
      </c>
      <c r="T20" s="28">
        <f t="shared" si="11"/>
        <v>41243.367654</v>
      </c>
      <c r="U20" s="28">
        <f t="shared" si="11"/>
        <v>1369029</v>
      </c>
      <c r="V20" s="479">
        <f t="shared" si="11"/>
        <v>41243.367654</v>
      </c>
    </row>
    <row r="21" spans="1:22" s="30" customFormat="1" ht="19.5" customHeight="1">
      <c r="A21" s="137" t="s">
        <v>1110</v>
      </c>
      <c r="B21" s="832" t="s">
        <v>965</v>
      </c>
      <c r="C21" s="780">
        <f aca="true" t="shared" si="12" ref="C21:R21">C22</f>
        <v>35541</v>
      </c>
      <c r="D21" s="456">
        <f t="shared" si="12"/>
        <v>37046</v>
      </c>
      <c r="E21" s="770">
        <f t="shared" si="12"/>
        <v>1176156</v>
      </c>
      <c r="F21" s="480">
        <f t="shared" si="12"/>
        <v>35432.875656000004</v>
      </c>
      <c r="G21" s="464">
        <f t="shared" si="12"/>
        <v>1211320</v>
      </c>
      <c r="H21" s="20">
        <f t="shared" si="12"/>
        <v>36492.22632</v>
      </c>
      <c r="I21" s="29">
        <f t="shared" si="12"/>
        <v>1185822</v>
      </c>
      <c r="J21" s="29">
        <f t="shared" si="12"/>
        <v>35724.073572</v>
      </c>
      <c r="K21" s="29">
        <f t="shared" si="12"/>
        <v>1438495</v>
      </c>
      <c r="L21" s="29">
        <f t="shared" si="12"/>
        <v>43336.10037000001</v>
      </c>
      <c r="M21" s="29">
        <f t="shared" si="12"/>
        <v>1568504</v>
      </c>
      <c r="N21" s="29">
        <f t="shared" si="12"/>
        <v>47252.751504</v>
      </c>
      <c r="O21" s="29">
        <f t="shared" si="12"/>
        <v>1185822</v>
      </c>
      <c r="P21" s="456">
        <f t="shared" si="12"/>
        <v>35724.073572</v>
      </c>
      <c r="Q21" s="20">
        <f t="shared" si="12"/>
        <v>1164320</v>
      </c>
      <c r="R21" s="18">
        <f t="shared" si="12"/>
        <v>35076.30432</v>
      </c>
      <c r="S21" s="780">
        <v>1164320</v>
      </c>
      <c r="T21" s="29">
        <f>S21*30.126/1000</f>
        <v>35076.30432</v>
      </c>
      <c r="U21" s="29">
        <v>1164320</v>
      </c>
      <c r="V21" s="480">
        <f>U21*30.126/1000</f>
        <v>35076.30432</v>
      </c>
    </row>
    <row r="22" spans="1:22" s="6" customFormat="1" ht="15" customHeight="1">
      <c r="A22" s="184"/>
      <c r="B22" s="836" t="s">
        <v>1108</v>
      </c>
      <c r="C22" s="827">
        <v>35541</v>
      </c>
      <c r="D22" s="2557">
        <v>37046</v>
      </c>
      <c r="E22" s="771">
        <v>1176156</v>
      </c>
      <c r="F22" s="185">
        <f>(E22*30.126)/1000</f>
        <v>35432.875656000004</v>
      </c>
      <c r="G22" s="465">
        <v>1211320</v>
      </c>
      <c r="H22" s="469">
        <f>G22*30.126/1000</f>
        <v>36492.22632</v>
      </c>
      <c r="I22" s="47">
        <v>1185822</v>
      </c>
      <c r="J22" s="47">
        <f>I22*30.126/1000</f>
        <v>35724.073572</v>
      </c>
      <c r="K22" s="47">
        <v>1438495</v>
      </c>
      <c r="L22" s="47">
        <f>K22*30.126/1000</f>
        <v>43336.10037000001</v>
      </c>
      <c r="M22" s="47">
        <v>1568504</v>
      </c>
      <c r="N22" s="47">
        <f>M22*30.126/1000</f>
        <v>47252.751504</v>
      </c>
      <c r="O22" s="47">
        <v>1185822</v>
      </c>
      <c r="P22" s="457">
        <f>O22*30.126/1000</f>
        <v>35724.073572</v>
      </c>
      <c r="Q22" s="1225">
        <v>1164320</v>
      </c>
      <c r="R22" s="46">
        <f>Q22*30.126/1000</f>
        <v>35076.30432</v>
      </c>
      <c r="S22" s="781"/>
      <c r="T22" s="47"/>
      <c r="U22" s="47"/>
      <c r="V22" s="185"/>
    </row>
    <row r="23" spans="1:22" s="30" customFormat="1" ht="19.5" customHeight="1">
      <c r="A23" s="137" t="s">
        <v>1112</v>
      </c>
      <c r="B23" s="832" t="s">
        <v>967</v>
      </c>
      <c r="C23" s="780">
        <f aca="true" t="shared" si="13" ref="C23:N23">C24+C29</f>
        <v>22792</v>
      </c>
      <c r="D23" s="456">
        <f t="shared" si="13"/>
        <v>25619</v>
      </c>
      <c r="E23" s="770">
        <f t="shared" si="13"/>
        <v>338081</v>
      </c>
      <c r="F23" s="480">
        <f t="shared" si="13"/>
        <v>10185.028205999999</v>
      </c>
      <c r="G23" s="464">
        <f t="shared" si="13"/>
        <v>198070</v>
      </c>
      <c r="H23" s="20">
        <f t="shared" si="13"/>
        <v>5967.056820000001</v>
      </c>
      <c r="I23" s="29">
        <f t="shared" si="13"/>
        <v>198070</v>
      </c>
      <c r="J23" s="29">
        <f t="shared" si="13"/>
        <v>5967.056820000001</v>
      </c>
      <c r="K23" s="29">
        <f t="shared" si="13"/>
        <v>981900</v>
      </c>
      <c r="L23" s="29">
        <f t="shared" si="13"/>
        <v>29580.7194</v>
      </c>
      <c r="M23" s="29">
        <f t="shared" si="13"/>
        <v>1137000</v>
      </c>
      <c r="N23" s="29">
        <f t="shared" si="13"/>
        <v>34253.262</v>
      </c>
      <c r="O23" s="29">
        <f>O24+O29</f>
        <v>198070</v>
      </c>
      <c r="P23" s="456">
        <f>P24+P29</f>
        <v>5967.056820000001</v>
      </c>
      <c r="Q23" s="20">
        <f>Q24+Q29</f>
        <v>204709</v>
      </c>
      <c r="R23" s="18">
        <f>R24+R29</f>
        <v>6167.063334</v>
      </c>
      <c r="S23" s="780">
        <v>204709</v>
      </c>
      <c r="T23" s="29">
        <f>S23*30.126/1000</f>
        <v>6167.0633339999995</v>
      </c>
      <c r="U23" s="29">
        <v>204709</v>
      </c>
      <c r="V23" s="480">
        <f>U23*30.126/1000</f>
        <v>6167.0633339999995</v>
      </c>
    </row>
    <row r="24" spans="1:22" s="6" customFormat="1" ht="15" customHeight="1">
      <c r="A24" s="184" t="s">
        <v>1113</v>
      </c>
      <c r="B24" s="837" t="s">
        <v>1111</v>
      </c>
      <c r="C24" s="781">
        <f aca="true" t="shared" si="14" ref="C24:N24">SUM(C25:C28)</f>
        <v>66</v>
      </c>
      <c r="D24" s="457">
        <f t="shared" si="14"/>
        <v>2396</v>
      </c>
      <c r="E24" s="771">
        <f t="shared" si="14"/>
        <v>96262</v>
      </c>
      <c r="F24" s="185">
        <f t="shared" si="14"/>
        <v>2899.989012</v>
      </c>
      <c r="G24" s="465">
        <f t="shared" si="14"/>
        <v>0</v>
      </c>
      <c r="H24" s="469">
        <f t="shared" si="14"/>
        <v>0</v>
      </c>
      <c r="I24" s="47">
        <f t="shared" si="14"/>
        <v>0</v>
      </c>
      <c r="J24" s="47">
        <f t="shared" si="14"/>
        <v>0</v>
      </c>
      <c r="K24" s="47">
        <f t="shared" si="14"/>
        <v>0</v>
      </c>
      <c r="L24" s="47">
        <f t="shared" si="14"/>
        <v>0</v>
      </c>
      <c r="M24" s="47">
        <f t="shared" si="14"/>
        <v>0</v>
      </c>
      <c r="N24" s="47">
        <f t="shared" si="14"/>
        <v>0</v>
      </c>
      <c r="O24" s="47">
        <f>SUM(O25:O28)</f>
        <v>0</v>
      </c>
      <c r="P24" s="457">
        <f>SUM(P25:P28)</f>
        <v>0</v>
      </c>
      <c r="Q24" s="1225"/>
      <c r="R24" s="46"/>
      <c r="S24" s="781"/>
      <c r="T24" s="47"/>
      <c r="U24" s="47"/>
      <c r="V24" s="185"/>
    </row>
    <row r="25" spans="1:22" s="6" customFormat="1" ht="15" customHeight="1" hidden="1">
      <c r="A25" s="189"/>
      <c r="B25" s="834" t="s">
        <v>536</v>
      </c>
      <c r="C25" s="803">
        <v>24</v>
      </c>
      <c r="D25" s="1524">
        <v>915</v>
      </c>
      <c r="E25" s="772"/>
      <c r="F25" s="139"/>
      <c r="G25" s="446"/>
      <c r="H25" s="470"/>
      <c r="I25" s="9"/>
      <c r="J25" s="9"/>
      <c r="K25" s="9"/>
      <c r="L25" s="9"/>
      <c r="M25" s="9"/>
      <c r="N25" s="9"/>
      <c r="O25" s="9"/>
      <c r="P25" s="382"/>
      <c r="Q25" s="35"/>
      <c r="R25" s="8"/>
      <c r="S25" s="782"/>
      <c r="T25" s="9"/>
      <c r="U25" s="9"/>
      <c r="V25" s="139"/>
    </row>
    <row r="26" spans="1:22" s="6" customFormat="1" ht="15" customHeight="1" hidden="1">
      <c r="A26" s="189"/>
      <c r="B26" s="834" t="s">
        <v>537</v>
      </c>
      <c r="C26" s="803">
        <v>42</v>
      </c>
      <c r="D26" s="1524"/>
      <c r="E26" s="772"/>
      <c r="F26" s="139"/>
      <c r="G26" s="446"/>
      <c r="H26" s="470"/>
      <c r="I26" s="9"/>
      <c r="J26" s="9"/>
      <c r="K26" s="9"/>
      <c r="L26" s="9"/>
      <c r="M26" s="9"/>
      <c r="N26" s="9"/>
      <c r="O26" s="9"/>
      <c r="P26" s="382"/>
      <c r="Q26" s="35"/>
      <c r="R26" s="8"/>
      <c r="S26" s="782"/>
      <c r="T26" s="9"/>
      <c r="U26" s="9"/>
      <c r="V26" s="139"/>
    </row>
    <row r="27" spans="1:22" s="6" customFormat="1" ht="15" customHeight="1" hidden="1">
      <c r="A27" s="190"/>
      <c r="B27" s="834" t="s">
        <v>1130</v>
      </c>
      <c r="C27" s="803"/>
      <c r="D27" s="1524">
        <v>1481</v>
      </c>
      <c r="E27" s="772"/>
      <c r="F27" s="139"/>
      <c r="G27" s="446"/>
      <c r="H27" s="470"/>
      <c r="I27" s="9"/>
      <c r="J27" s="9"/>
      <c r="K27" s="9"/>
      <c r="L27" s="9"/>
      <c r="M27" s="9"/>
      <c r="N27" s="9"/>
      <c r="O27" s="9"/>
      <c r="P27" s="382"/>
      <c r="Q27" s="35"/>
      <c r="R27" s="8"/>
      <c r="S27" s="782"/>
      <c r="T27" s="9"/>
      <c r="U27" s="9"/>
      <c r="V27" s="139"/>
    </row>
    <row r="28" spans="1:22" s="6" customFormat="1" ht="15" customHeight="1">
      <c r="A28" s="189"/>
      <c r="B28" s="834" t="s">
        <v>1129</v>
      </c>
      <c r="C28" s="803"/>
      <c r="D28" s="1524"/>
      <c r="E28" s="772">
        <v>96262</v>
      </c>
      <c r="F28" s="139">
        <f>(E28*30.126)/1000</f>
        <v>2899.989012</v>
      </c>
      <c r="G28" s="446"/>
      <c r="H28" s="470"/>
      <c r="I28" s="9"/>
      <c r="J28" s="9"/>
      <c r="K28" s="9"/>
      <c r="L28" s="9"/>
      <c r="M28" s="9"/>
      <c r="N28" s="9"/>
      <c r="O28" s="9"/>
      <c r="P28" s="382"/>
      <c r="Q28" s="35"/>
      <c r="R28" s="8"/>
      <c r="S28" s="782"/>
      <c r="T28" s="9"/>
      <c r="U28" s="9"/>
      <c r="V28" s="139"/>
    </row>
    <row r="29" spans="1:22" s="6" customFormat="1" ht="15" customHeight="1">
      <c r="A29" s="187" t="s">
        <v>1114</v>
      </c>
      <c r="B29" s="838" t="s">
        <v>1108</v>
      </c>
      <c r="C29" s="817">
        <v>22726</v>
      </c>
      <c r="D29" s="1758">
        <v>23223</v>
      </c>
      <c r="E29" s="2413">
        <f>E30+E54</f>
        <v>241819</v>
      </c>
      <c r="F29" s="139">
        <f>(E29*30.126)/1000</f>
        <v>7285.039194</v>
      </c>
      <c r="G29" s="532">
        <f aca="true" t="shared" si="15" ref="G29:N29">G30+G54</f>
        <v>198070</v>
      </c>
      <c r="H29" s="666">
        <f t="shared" si="15"/>
        <v>5967.056820000001</v>
      </c>
      <c r="I29" s="44">
        <f t="shared" si="15"/>
        <v>198070</v>
      </c>
      <c r="J29" s="44">
        <f t="shared" si="15"/>
        <v>5967.056820000001</v>
      </c>
      <c r="K29" s="44">
        <f t="shared" si="15"/>
        <v>981900</v>
      </c>
      <c r="L29" s="44">
        <f t="shared" si="15"/>
        <v>29580.7194</v>
      </c>
      <c r="M29" s="44">
        <f t="shared" si="15"/>
        <v>1137000</v>
      </c>
      <c r="N29" s="44">
        <f t="shared" si="15"/>
        <v>34253.262</v>
      </c>
      <c r="O29" s="44">
        <f>O30+O54</f>
        <v>198070</v>
      </c>
      <c r="P29" s="1758">
        <f>P30+P54</f>
        <v>5967.056820000001</v>
      </c>
      <c r="Q29" s="56">
        <f>Q30+Q54</f>
        <v>204709</v>
      </c>
      <c r="R29" s="55">
        <f>R30+R54</f>
        <v>6167.063334</v>
      </c>
      <c r="S29" s="817"/>
      <c r="T29" s="44"/>
      <c r="U29" s="44"/>
      <c r="V29" s="191"/>
    </row>
    <row r="30" spans="1:22" s="6" customFormat="1" ht="15" customHeight="1">
      <c r="A30" s="192"/>
      <c r="B30" s="834" t="s">
        <v>98</v>
      </c>
      <c r="C30" s="817">
        <f>SUM(C31:C51)</f>
        <v>0</v>
      </c>
      <c r="D30" s="1758">
        <f>SUM(D31:D51)</f>
        <v>0</v>
      </c>
      <c r="E30" s="2413">
        <f>SUM(E31:E51)</f>
        <v>128738</v>
      </c>
      <c r="F30" s="191">
        <f>SUM(F31:F51)</f>
        <v>3878.3609880000004</v>
      </c>
      <c r="G30" s="532">
        <f>SUM(G31:G53)</f>
        <v>147000</v>
      </c>
      <c r="H30" s="666">
        <f aca="true" t="shared" si="16" ref="H30:N30">SUM(H31:H53)</f>
        <v>4428.522</v>
      </c>
      <c r="I30" s="44">
        <f t="shared" si="16"/>
        <v>147000</v>
      </c>
      <c r="J30" s="44">
        <f t="shared" si="16"/>
        <v>4428.522</v>
      </c>
      <c r="K30" s="44">
        <f t="shared" si="16"/>
        <v>876000</v>
      </c>
      <c r="L30" s="44">
        <f t="shared" si="16"/>
        <v>26390.376</v>
      </c>
      <c r="M30" s="44">
        <f t="shared" si="16"/>
        <v>1032000</v>
      </c>
      <c r="N30" s="44">
        <f t="shared" si="16"/>
        <v>31090.032</v>
      </c>
      <c r="O30" s="44">
        <f>SUM(O31:O53)</f>
        <v>147000</v>
      </c>
      <c r="P30" s="1758">
        <f>SUM(P31:P53)</f>
        <v>4428.522</v>
      </c>
      <c r="Q30" s="56">
        <f>SUM(Q31:Q53)</f>
        <v>153639</v>
      </c>
      <c r="R30" s="55">
        <f>SUM(R31:R53)</f>
        <v>4628.528514</v>
      </c>
      <c r="S30" s="817"/>
      <c r="T30" s="44"/>
      <c r="U30" s="44"/>
      <c r="V30" s="191"/>
    </row>
    <row r="31" spans="1:22" s="6" customFormat="1" ht="15" customHeight="1">
      <c r="A31" s="190"/>
      <c r="B31" s="839" t="s">
        <v>99</v>
      </c>
      <c r="C31" s="803"/>
      <c r="D31" s="1524"/>
      <c r="E31" s="772">
        <v>996</v>
      </c>
      <c r="F31" s="139">
        <f>(E31*30.126)/1000</f>
        <v>30.005496000000004</v>
      </c>
      <c r="G31" s="446"/>
      <c r="H31" s="470"/>
      <c r="I31" s="9"/>
      <c r="J31" s="9"/>
      <c r="K31" s="9">
        <v>80000</v>
      </c>
      <c r="L31" s="9">
        <f aca="true" t="shared" si="17" ref="L31:L39">K31*30.126/1000</f>
        <v>2410.08</v>
      </c>
      <c r="M31" s="9">
        <v>80000</v>
      </c>
      <c r="N31" s="9">
        <f>M31*30.126/1000</f>
        <v>2410.08</v>
      </c>
      <c r="O31" s="9"/>
      <c r="P31" s="382"/>
      <c r="Q31" s="35"/>
      <c r="R31" s="8"/>
      <c r="S31" s="782"/>
      <c r="T31" s="9"/>
      <c r="U31" s="9"/>
      <c r="V31" s="139"/>
    </row>
    <row r="32" spans="1:22" s="6" customFormat="1" ht="15" customHeight="1" hidden="1">
      <c r="A32" s="190"/>
      <c r="B32" s="839" t="s">
        <v>204</v>
      </c>
      <c r="C32" s="803"/>
      <c r="D32" s="1524"/>
      <c r="E32" s="772"/>
      <c r="F32" s="139">
        <f aca="true" t="shared" si="18" ref="F32:F38">(E32*30.126)/1000</f>
        <v>0</v>
      </c>
      <c r="G32" s="446"/>
      <c r="H32" s="470"/>
      <c r="I32" s="9"/>
      <c r="J32" s="9"/>
      <c r="K32" s="9">
        <v>100000</v>
      </c>
      <c r="L32" s="9">
        <f t="shared" si="17"/>
        <v>3012.6</v>
      </c>
      <c r="M32" s="9">
        <v>100000</v>
      </c>
      <c r="N32" s="9">
        <f>M32*30.126/1000</f>
        <v>3012.6</v>
      </c>
      <c r="O32" s="9"/>
      <c r="P32" s="382"/>
      <c r="Q32" s="35"/>
      <c r="R32" s="8"/>
      <c r="S32" s="782"/>
      <c r="T32" s="9"/>
      <c r="U32" s="9"/>
      <c r="V32" s="139"/>
    </row>
    <row r="33" spans="1:22" s="6" customFormat="1" ht="15" customHeight="1" hidden="1">
      <c r="A33" s="190"/>
      <c r="B33" s="839" t="s">
        <v>205</v>
      </c>
      <c r="C33" s="803"/>
      <c r="D33" s="1524"/>
      <c r="E33" s="772"/>
      <c r="F33" s="139">
        <f t="shared" si="18"/>
        <v>0</v>
      </c>
      <c r="G33" s="446"/>
      <c r="H33" s="470"/>
      <c r="I33" s="9"/>
      <c r="J33" s="9"/>
      <c r="K33" s="9">
        <v>8000</v>
      </c>
      <c r="L33" s="9">
        <f t="shared" si="17"/>
        <v>241.008</v>
      </c>
      <c r="M33" s="9">
        <v>80000</v>
      </c>
      <c r="N33" s="9">
        <f>M33*30.126/1000</f>
        <v>2410.08</v>
      </c>
      <c r="O33" s="9"/>
      <c r="P33" s="382"/>
      <c r="Q33" s="35"/>
      <c r="R33" s="8"/>
      <c r="S33" s="782"/>
      <c r="T33" s="9"/>
      <c r="U33" s="9"/>
      <c r="V33" s="139"/>
    </row>
    <row r="34" spans="1:22" s="6" customFormat="1" ht="15" customHeight="1" hidden="1">
      <c r="A34" s="190"/>
      <c r="B34" s="839" t="s">
        <v>202</v>
      </c>
      <c r="C34" s="803"/>
      <c r="D34" s="1524"/>
      <c r="E34" s="772"/>
      <c r="F34" s="139">
        <f t="shared" si="18"/>
        <v>0</v>
      </c>
      <c r="G34" s="446"/>
      <c r="H34" s="470"/>
      <c r="I34" s="9"/>
      <c r="J34" s="9"/>
      <c r="K34" s="9">
        <v>15000</v>
      </c>
      <c r="L34" s="9">
        <f t="shared" si="17"/>
        <v>451.89</v>
      </c>
      <c r="M34" s="9"/>
      <c r="N34" s="9"/>
      <c r="O34" s="9"/>
      <c r="P34" s="382"/>
      <c r="Q34" s="35"/>
      <c r="R34" s="8"/>
      <c r="S34" s="782"/>
      <c r="T34" s="9"/>
      <c r="U34" s="9"/>
      <c r="V34" s="139"/>
    </row>
    <row r="35" spans="1:22" s="6" customFormat="1" ht="15" customHeight="1" hidden="1">
      <c r="A35" s="190"/>
      <c r="B35" s="839" t="s">
        <v>203</v>
      </c>
      <c r="C35" s="803"/>
      <c r="D35" s="1524"/>
      <c r="E35" s="772"/>
      <c r="F35" s="139">
        <f t="shared" si="18"/>
        <v>0</v>
      </c>
      <c r="G35" s="446"/>
      <c r="H35" s="470"/>
      <c r="I35" s="9"/>
      <c r="J35" s="9"/>
      <c r="K35" s="9">
        <v>7000</v>
      </c>
      <c r="L35" s="9">
        <f t="shared" si="17"/>
        <v>210.882</v>
      </c>
      <c r="M35" s="9"/>
      <c r="N35" s="9"/>
      <c r="O35" s="9"/>
      <c r="P35" s="382"/>
      <c r="Q35" s="35"/>
      <c r="R35" s="8"/>
      <c r="S35" s="782"/>
      <c r="T35" s="9"/>
      <c r="U35" s="9"/>
      <c r="V35" s="139"/>
    </row>
    <row r="36" spans="1:22" s="6" customFormat="1" ht="15" customHeight="1" hidden="1">
      <c r="A36" s="190"/>
      <c r="B36" s="839" t="s">
        <v>206</v>
      </c>
      <c r="C36" s="803"/>
      <c r="D36" s="1524"/>
      <c r="E36" s="772"/>
      <c r="F36" s="139">
        <f t="shared" si="18"/>
        <v>0</v>
      </c>
      <c r="G36" s="446"/>
      <c r="H36" s="470"/>
      <c r="I36" s="9"/>
      <c r="J36" s="9"/>
      <c r="K36" s="9">
        <v>7000</v>
      </c>
      <c r="L36" s="9">
        <f t="shared" si="17"/>
        <v>210.882</v>
      </c>
      <c r="M36" s="9">
        <v>65000</v>
      </c>
      <c r="N36" s="9">
        <f>M36*30.126/1000</f>
        <v>1958.19</v>
      </c>
      <c r="O36" s="9"/>
      <c r="P36" s="382"/>
      <c r="Q36" s="35"/>
      <c r="R36" s="8"/>
      <c r="S36" s="782"/>
      <c r="T36" s="9"/>
      <c r="U36" s="9"/>
      <c r="V36" s="139"/>
    </row>
    <row r="37" spans="1:22" s="6" customFormat="1" ht="15" customHeight="1" hidden="1">
      <c r="A37" s="190"/>
      <c r="B37" s="839" t="s">
        <v>207</v>
      </c>
      <c r="C37" s="803"/>
      <c r="D37" s="1524"/>
      <c r="E37" s="772"/>
      <c r="F37" s="139">
        <f t="shared" si="18"/>
        <v>0</v>
      </c>
      <c r="G37" s="446"/>
      <c r="H37" s="470"/>
      <c r="I37" s="9"/>
      <c r="J37" s="9"/>
      <c r="K37" s="9">
        <v>10000</v>
      </c>
      <c r="L37" s="9">
        <f t="shared" si="17"/>
        <v>301.26</v>
      </c>
      <c r="M37" s="9">
        <v>100000</v>
      </c>
      <c r="N37" s="9">
        <f>M37*30.126/1000</f>
        <v>3012.6</v>
      </c>
      <c r="O37" s="9"/>
      <c r="P37" s="382"/>
      <c r="Q37" s="35"/>
      <c r="R37" s="8"/>
      <c r="S37" s="782"/>
      <c r="T37" s="9"/>
      <c r="U37" s="9"/>
      <c r="V37" s="139"/>
    </row>
    <row r="38" spans="1:22" s="6" customFormat="1" ht="15" customHeight="1">
      <c r="A38" s="190"/>
      <c r="B38" s="839" t="s">
        <v>100</v>
      </c>
      <c r="C38" s="803"/>
      <c r="D38" s="1524"/>
      <c r="E38" s="772">
        <v>73973</v>
      </c>
      <c r="F38" s="139">
        <f t="shared" si="18"/>
        <v>2228.5105980000003</v>
      </c>
      <c r="G38" s="446">
        <v>27000</v>
      </c>
      <c r="H38" s="470">
        <f>G38*30.126/1000</f>
        <v>813.402</v>
      </c>
      <c r="I38" s="9">
        <v>27000</v>
      </c>
      <c r="J38" s="9">
        <f>I38*30.126/1000</f>
        <v>813.402</v>
      </c>
      <c r="K38" s="9">
        <v>40000</v>
      </c>
      <c r="L38" s="9">
        <f t="shared" si="17"/>
        <v>1205.04</v>
      </c>
      <c r="M38" s="9"/>
      <c r="N38" s="9"/>
      <c r="O38" s="9">
        <v>27000</v>
      </c>
      <c r="P38" s="382">
        <f>O38*30.126/1000</f>
        <v>813.402</v>
      </c>
      <c r="Q38" s="35">
        <v>27000</v>
      </c>
      <c r="R38" s="8">
        <f aca="true" t="shared" si="19" ref="R38:R44">Q38*30.126/1000</f>
        <v>813.402</v>
      </c>
      <c r="S38" s="782"/>
      <c r="T38" s="9"/>
      <c r="U38" s="9"/>
      <c r="V38" s="139"/>
    </row>
    <row r="39" spans="1:22" s="6" customFormat="1" ht="15" customHeight="1" hidden="1">
      <c r="A39" s="190"/>
      <c r="B39" s="839" t="s">
        <v>208</v>
      </c>
      <c r="C39" s="803"/>
      <c r="D39" s="1524"/>
      <c r="E39" s="772"/>
      <c r="F39" s="139"/>
      <c r="G39" s="446"/>
      <c r="H39" s="470"/>
      <c r="I39" s="9"/>
      <c r="J39" s="9">
        <f aca="true" t="shared" si="20" ref="J39:J51">I39*30.126/1000</f>
        <v>0</v>
      </c>
      <c r="K39" s="9">
        <v>65000</v>
      </c>
      <c r="L39" s="9">
        <f t="shared" si="17"/>
        <v>1958.19</v>
      </c>
      <c r="M39" s="9"/>
      <c r="N39" s="9"/>
      <c r="O39" s="9"/>
      <c r="P39" s="382">
        <f>O39*30.126/1000</f>
        <v>0</v>
      </c>
      <c r="Q39" s="35"/>
      <c r="R39" s="8">
        <f t="shared" si="19"/>
        <v>0</v>
      </c>
      <c r="S39" s="782"/>
      <c r="T39" s="9"/>
      <c r="U39" s="9"/>
      <c r="V39" s="139"/>
    </row>
    <row r="40" spans="1:22" s="6" customFormat="1" ht="15" customHeight="1" hidden="1">
      <c r="A40" s="190"/>
      <c r="B40" s="839" t="s">
        <v>209</v>
      </c>
      <c r="C40" s="803"/>
      <c r="D40" s="1524"/>
      <c r="E40" s="772"/>
      <c r="F40" s="139"/>
      <c r="G40" s="446"/>
      <c r="H40" s="470"/>
      <c r="I40" s="9"/>
      <c r="J40" s="9">
        <f t="shared" si="20"/>
        <v>0</v>
      </c>
      <c r="K40" s="9"/>
      <c r="L40" s="9"/>
      <c r="M40" s="9">
        <v>7000</v>
      </c>
      <c r="N40" s="9">
        <f>M40*30.126/1000</f>
        <v>210.882</v>
      </c>
      <c r="O40" s="9"/>
      <c r="P40" s="382">
        <f>O40*30.126/1000</f>
        <v>0</v>
      </c>
      <c r="Q40" s="35"/>
      <c r="R40" s="8">
        <f t="shared" si="19"/>
        <v>0</v>
      </c>
      <c r="S40" s="782"/>
      <c r="T40" s="9"/>
      <c r="U40" s="9"/>
      <c r="V40" s="139"/>
    </row>
    <row r="41" spans="1:22" s="6" customFormat="1" ht="15" customHeight="1">
      <c r="A41" s="190"/>
      <c r="B41" s="839" t="s">
        <v>101</v>
      </c>
      <c r="C41" s="803"/>
      <c r="D41" s="1524"/>
      <c r="E41" s="772"/>
      <c r="F41" s="139"/>
      <c r="G41" s="446">
        <v>20000</v>
      </c>
      <c r="H41" s="470">
        <f>G41*30.126/1000</f>
        <v>602.52</v>
      </c>
      <c r="I41" s="9">
        <v>20000</v>
      </c>
      <c r="J41" s="9">
        <f t="shared" si="20"/>
        <v>602.52</v>
      </c>
      <c r="K41" s="9"/>
      <c r="L41" s="9"/>
      <c r="M41" s="9"/>
      <c r="N41" s="9"/>
      <c r="O41" s="9">
        <v>20000</v>
      </c>
      <c r="P41" s="382">
        <f>O41*30.126/1000</f>
        <v>602.52</v>
      </c>
      <c r="Q41" s="35">
        <v>20000</v>
      </c>
      <c r="R41" s="8">
        <f t="shared" si="19"/>
        <v>602.52</v>
      </c>
      <c r="S41" s="782"/>
      <c r="T41" s="9"/>
      <c r="U41" s="9"/>
      <c r="V41" s="139"/>
    </row>
    <row r="42" spans="1:22" s="6" customFormat="1" ht="15" customHeight="1">
      <c r="A42" s="190"/>
      <c r="B42" s="839" t="s">
        <v>135</v>
      </c>
      <c r="C42" s="803"/>
      <c r="D42" s="1524"/>
      <c r="E42" s="772">
        <v>8298</v>
      </c>
      <c r="F42" s="139">
        <f>(E42*30.126)/1000</f>
        <v>249.98554800000002</v>
      </c>
      <c r="G42" s="446"/>
      <c r="H42" s="470"/>
      <c r="I42" s="9"/>
      <c r="J42" s="9">
        <f t="shared" si="20"/>
        <v>0</v>
      </c>
      <c r="K42" s="9">
        <v>7000</v>
      </c>
      <c r="L42" s="9">
        <f>K42*30.126/1000</f>
        <v>210.882</v>
      </c>
      <c r="M42" s="9"/>
      <c r="N42" s="9"/>
      <c r="O42" s="9"/>
      <c r="P42" s="382">
        <f>O42*30.126/1000</f>
        <v>0</v>
      </c>
      <c r="Q42" s="35"/>
      <c r="R42" s="8"/>
      <c r="S42" s="782"/>
      <c r="T42" s="9"/>
      <c r="U42" s="9"/>
      <c r="V42" s="139"/>
    </row>
    <row r="43" spans="1:22" s="6" customFormat="1" ht="15" customHeight="1">
      <c r="A43" s="190"/>
      <c r="B43" s="839" t="s">
        <v>102</v>
      </c>
      <c r="C43" s="803"/>
      <c r="D43" s="1524"/>
      <c r="E43" s="772"/>
      <c r="F43" s="139"/>
      <c r="G43" s="446"/>
      <c r="H43" s="470"/>
      <c r="I43" s="9"/>
      <c r="J43" s="9"/>
      <c r="K43" s="9"/>
      <c r="L43" s="9"/>
      <c r="M43" s="9"/>
      <c r="N43" s="9"/>
      <c r="O43" s="9"/>
      <c r="P43" s="382"/>
      <c r="Q43" s="35">
        <v>6639</v>
      </c>
      <c r="R43" s="8">
        <f t="shared" si="19"/>
        <v>200.00651399999998</v>
      </c>
      <c r="S43" s="782"/>
      <c r="T43" s="9"/>
      <c r="U43" s="9"/>
      <c r="V43" s="139"/>
    </row>
    <row r="44" spans="1:22" s="6" customFormat="1" ht="15" customHeight="1">
      <c r="A44" s="190"/>
      <c r="B44" s="839" t="s">
        <v>191</v>
      </c>
      <c r="C44" s="803"/>
      <c r="D44" s="1524"/>
      <c r="E44" s="772"/>
      <c r="F44" s="139"/>
      <c r="G44" s="446">
        <v>30000</v>
      </c>
      <c r="H44" s="470">
        <f>G44*30.126/1000</f>
        <v>903.78</v>
      </c>
      <c r="I44" s="9">
        <v>30000</v>
      </c>
      <c r="J44" s="9">
        <f t="shared" si="20"/>
        <v>903.78</v>
      </c>
      <c r="K44" s="9"/>
      <c r="L44" s="9"/>
      <c r="M44" s="9"/>
      <c r="N44" s="9"/>
      <c r="O44" s="9">
        <v>30000</v>
      </c>
      <c r="P44" s="382">
        <f>O44*30.126/1000</f>
        <v>903.78</v>
      </c>
      <c r="Q44" s="35">
        <v>30000</v>
      </c>
      <c r="R44" s="8">
        <f t="shared" si="19"/>
        <v>903.78</v>
      </c>
      <c r="S44" s="782"/>
      <c r="T44" s="9"/>
      <c r="U44" s="9"/>
      <c r="V44" s="139"/>
    </row>
    <row r="45" spans="1:22" s="6" customFormat="1" ht="15" customHeight="1">
      <c r="A45" s="190"/>
      <c r="B45" s="839" t="s">
        <v>111</v>
      </c>
      <c r="C45" s="803"/>
      <c r="D45" s="1524"/>
      <c r="E45" s="772">
        <v>13145</v>
      </c>
      <c r="F45" s="139">
        <f>(E45*30.126)/1000</f>
        <v>396.00627000000003</v>
      </c>
      <c r="G45" s="446"/>
      <c r="H45" s="470"/>
      <c r="I45" s="9"/>
      <c r="J45" s="9">
        <f t="shared" si="20"/>
        <v>0</v>
      </c>
      <c r="K45" s="9">
        <v>250000</v>
      </c>
      <c r="L45" s="9">
        <f>K45*30.126/1000</f>
        <v>7531.5</v>
      </c>
      <c r="M45" s="9">
        <v>250000</v>
      </c>
      <c r="N45" s="9">
        <f>M45*30.126/1000</f>
        <v>7531.5</v>
      </c>
      <c r="O45" s="9"/>
      <c r="P45" s="382">
        <f>O45*30.126/1000</f>
        <v>0</v>
      </c>
      <c r="Q45" s="35"/>
      <c r="R45" s="8"/>
      <c r="S45" s="782"/>
      <c r="T45" s="9"/>
      <c r="U45" s="9"/>
      <c r="V45" s="139"/>
    </row>
    <row r="46" spans="1:22" s="6" customFormat="1" ht="15" customHeight="1">
      <c r="A46" s="190"/>
      <c r="B46" s="839" t="s">
        <v>534</v>
      </c>
      <c r="C46" s="803"/>
      <c r="D46" s="1524"/>
      <c r="E46" s="772">
        <v>32326</v>
      </c>
      <c r="F46" s="139">
        <f>(E46*30.126)/1000</f>
        <v>973.853076</v>
      </c>
      <c r="G46" s="446"/>
      <c r="H46" s="470"/>
      <c r="I46" s="9"/>
      <c r="J46" s="9"/>
      <c r="K46" s="9"/>
      <c r="L46" s="9"/>
      <c r="M46" s="9"/>
      <c r="N46" s="9"/>
      <c r="O46" s="9"/>
      <c r="P46" s="382"/>
      <c r="Q46" s="35"/>
      <c r="R46" s="8"/>
      <c r="S46" s="782"/>
      <c r="T46" s="9"/>
      <c r="U46" s="9"/>
      <c r="V46" s="139"/>
    </row>
    <row r="47" spans="1:22" s="6" customFormat="1" ht="15" customHeight="1" hidden="1">
      <c r="A47" s="190"/>
      <c r="B47" s="839" t="s">
        <v>210</v>
      </c>
      <c r="C47" s="803"/>
      <c r="D47" s="1524"/>
      <c r="E47" s="772"/>
      <c r="F47" s="139"/>
      <c r="G47" s="446"/>
      <c r="H47" s="470"/>
      <c r="I47" s="9"/>
      <c r="J47" s="9">
        <f t="shared" si="20"/>
        <v>0</v>
      </c>
      <c r="K47" s="9">
        <v>50000</v>
      </c>
      <c r="L47" s="9">
        <f>K47*30.126/1000</f>
        <v>1506.3</v>
      </c>
      <c r="M47" s="9">
        <v>50000</v>
      </c>
      <c r="N47" s="9">
        <f>M47*30.126/1000</f>
        <v>1506.3</v>
      </c>
      <c r="O47" s="9"/>
      <c r="P47" s="382">
        <f>O47*30.126/1000</f>
        <v>0</v>
      </c>
      <c r="Q47" s="35"/>
      <c r="R47" s="8">
        <f>Q47*30.126/1000</f>
        <v>0</v>
      </c>
      <c r="S47" s="782"/>
      <c r="T47" s="9"/>
      <c r="U47" s="9"/>
      <c r="V47" s="139"/>
    </row>
    <row r="48" spans="1:22" s="6" customFormat="1" ht="15" customHeight="1" hidden="1">
      <c r="A48" s="190"/>
      <c r="B48" s="839" t="s">
        <v>211</v>
      </c>
      <c r="C48" s="803"/>
      <c r="D48" s="1524"/>
      <c r="E48" s="772"/>
      <c r="F48" s="139"/>
      <c r="G48" s="446"/>
      <c r="H48" s="470"/>
      <c r="I48" s="9"/>
      <c r="J48" s="9">
        <f t="shared" si="20"/>
        <v>0</v>
      </c>
      <c r="K48" s="9">
        <v>10000</v>
      </c>
      <c r="L48" s="9">
        <f>K48*30.126/1000</f>
        <v>301.26</v>
      </c>
      <c r="M48" s="9"/>
      <c r="N48" s="9"/>
      <c r="O48" s="9"/>
      <c r="P48" s="382">
        <f>O48*30.126/1000</f>
        <v>0</v>
      </c>
      <c r="Q48" s="35"/>
      <c r="R48" s="8">
        <f>Q48*30.126/1000</f>
        <v>0</v>
      </c>
      <c r="S48" s="782"/>
      <c r="T48" s="9"/>
      <c r="U48" s="9"/>
      <c r="V48" s="139"/>
    </row>
    <row r="49" spans="1:22" s="6" customFormat="1" ht="15" customHeight="1">
      <c r="A49" s="190"/>
      <c r="B49" s="839" t="s">
        <v>192</v>
      </c>
      <c r="C49" s="803"/>
      <c r="D49" s="1524"/>
      <c r="E49" s="772"/>
      <c r="F49" s="139"/>
      <c r="G49" s="446">
        <v>30000</v>
      </c>
      <c r="H49" s="470">
        <f>G49*30.126/1000</f>
        <v>903.78</v>
      </c>
      <c r="I49" s="9">
        <v>30000</v>
      </c>
      <c r="J49" s="9">
        <f t="shared" si="20"/>
        <v>903.78</v>
      </c>
      <c r="K49" s="9"/>
      <c r="L49" s="9"/>
      <c r="M49" s="9"/>
      <c r="N49" s="9"/>
      <c r="O49" s="9">
        <v>30000</v>
      </c>
      <c r="P49" s="382">
        <f>O49*30.126/1000</f>
        <v>903.78</v>
      </c>
      <c r="Q49" s="35">
        <v>30000</v>
      </c>
      <c r="R49" s="8">
        <f>Q49*30.126/1000</f>
        <v>903.78</v>
      </c>
      <c r="S49" s="782"/>
      <c r="T49" s="9"/>
      <c r="U49" s="9"/>
      <c r="V49" s="139"/>
    </row>
    <row r="50" spans="1:22" s="6" customFormat="1" ht="15" customHeight="1" hidden="1">
      <c r="A50" s="190"/>
      <c r="B50" s="839" t="s">
        <v>212</v>
      </c>
      <c r="C50" s="803"/>
      <c r="D50" s="1524"/>
      <c r="E50" s="772"/>
      <c r="F50" s="139"/>
      <c r="G50" s="446"/>
      <c r="H50" s="470"/>
      <c r="I50" s="9"/>
      <c r="J50" s="9">
        <f t="shared" si="20"/>
        <v>0</v>
      </c>
      <c r="K50" s="9">
        <v>20000</v>
      </c>
      <c r="L50" s="9">
        <f>K50*30.126/1000</f>
        <v>602.52</v>
      </c>
      <c r="M50" s="9"/>
      <c r="N50" s="9"/>
      <c r="O50" s="9"/>
      <c r="P50" s="382">
        <f>O50*30.126/1000</f>
        <v>0</v>
      </c>
      <c r="Q50" s="35"/>
      <c r="R50" s="8">
        <f>Q50*30.126/1000</f>
        <v>0</v>
      </c>
      <c r="S50" s="782"/>
      <c r="T50" s="9"/>
      <c r="U50" s="9"/>
      <c r="V50" s="139"/>
    </row>
    <row r="51" spans="1:22" s="6" customFormat="1" ht="15" customHeight="1">
      <c r="A51" s="190"/>
      <c r="B51" s="839" t="s">
        <v>112</v>
      </c>
      <c r="C51" s="803"/>
      <c r="D51" s="1524"/>
      <c r="E51" s="772"/>
      <c r="F51" s="139"/>
      <c r="G51" s="446">
        <v>40000</v>
      </c>
      <c r="H51" s="470">
        <f>G51*30.126/1000</f>
        <v>1205.04</v>
      </c>
      <c r="I51" s="9">
        <v>40000</v>
      </c>
      <c r="J51" s="9">
        <f t="shared" si="20"/>
        <v>1205.04</v>
      </c>
      <c r="K51" s="9"/>
      <c r="L51" s="9"/>
      <c r="M51" s="9"/>
      <c r="N51" s="9"/>
      <c r="O51" s="9">
        <v>40000</v>
      </c>
      <c r="P51" s="382">
        <f>O51*30.126/1000</f>
        <v>1205.04</v>
      </c>
      <c r="Q51" s="35">
        <v>40000</v>
      </c>
      <c r="R51" s="8">
        <f>Q51*30.126/1000</f>
        <v>1205.04</v>
      </c>
      <c r="S51" s="782"/>
      <c r="T51" s="9"/>
      <c r="U51" s="9"/>
      <c r="V51" s="139"/>
    </row>
    <row r="52" spans="1:22" s="6" customFormat="1" ht="15" customHeight="1" hidden="1">
      <c r="A52" s="190"/>
      <c r="B52" s="839" t="s">
        <v>213</v>
      </c>
      <c r="C52" s="803"/>
      <c r="D52" s="1524"/>
      <c r="E52" s="772"/>
      <c r="F52" s="139"/>
      <c r="G52" s="446"/>
      <c r="H52" s="470"/>
      <c r="I52" s="9"/>
      <c r="J52" s="9"/>
      <c r="K52" s="9">
        <v>200000</v>
      </c>
      <c r="L52" s="9">
        <f>K52*30.126/1000</f>
        <v>6025.2</v>
      </c>
      <c r="M52" s="9">
        <v>200000</v>
      </c>
      <c r="N52" s="9">
        <f>M52*30.126/1000</f>
        <v>6025.2</v>
      </c>
      <c r="O52" s="9"/>
      <c r="P52" s="382"/>
      <c r="Q52" s="35"/>
      <c r="R52" s="8"/>
      <c r="S52" s="782"/>
      <c r="T52" s="9"/>
      <c r="U52" s="9"/>
      <c r="V52" s="139"/>
    </row>
    <row r="53" spans="1:22" s="6" customFormat="1" ht="15" customHeight="1" hidden="1">
      <c r="A53" s="190"/>
      <c r="B53" s="839" t="s">
        <v>214</v>
      </c>
      <c r="C53" s="803"/>
      <c r="D53" s="1524"/>
      <c r="E53" s="772"/>
      <c r="F53" s="139"/>
      <c r="G53" s="446"/>
      <c r="H53" s="470"/>
      <c r="I53" s="9"/>
      <c r="J53" s="9"/>
      <c r="K53" s="9">
        <v>7000</v>
      </c>
      <c r="L53" s="9">
        <f>K53*30.126/1000</f>
        <v>210.882</v>
      </c>
      <c r="M53" s="9">
        <v>100000</v>
      </c>
      <c r="N53" s="9">
        <f>M53*30.126/1000</f>
        <v>3012.6</v>
      </c>
      <c r="O53" s="9"/>
      <c r="P53" s="382"/>
      <c r="Q53" s="35"/>
      <c r="R53" s="8"/>
      <c r="S53" s="782"/>
      <c r="T53" s="9"/>
      <c r="U53" s="9"/>
      <c r="V53" s="139"/>
    </row>
    <row r="54" spans="1:22" s="6" customFormat="1" ht="15" customHeight="1">
      <c r="A54" s="190"/>
      <c r="B54" s="834" t="s">
        <v>113</v>
      </c>
      <c r="C54" s="782">
        <f>SUM(C56:C74)</f>
        <v>0</v>
      </c>
      <c r="D54" s="382">
        <f>SUM(D56:D74)</f>
        <v>0</v>
      </c>
      <c r="E54" s="772">
        <f>SUM(E56:E74)</f>
        <v>113081</v>
      </c>
      <c r="F54" s="139">
        <f>SUM(F56:F74)</f>
        <v>3406.678206</v>
      </c>
      <c r="G54" s="446">
        <f>SUM(G55:G74)</f>
        <v>51070</v>
      </c>
      <c r="H54" s="470">
        <f aca="true" t="shared" si="21" ref="H54:N54">SUM(H55:H74)</f>
        <v>1538.5348200000005</v>
      </c>
      <c r="I54" s="9">
        <f t="shared" si="21"/>
        <v>51070</v>
      </c>
      <c r="J54" s="9">
        <f t="shared" si="21"/>
        <v>1538.5348200000005</v>
      </c>
      <c r="K54" s="9">
        <f t="shared" si="21"/>
        <v>105900</v>
      </c>
      <c r="L54" s="9">
        <f t="shared" si="21"/>
        <v>3190.3433999999997</v>
      </c>
      <c r="M54" s="9">
        <f t="shared" si="21"/>
        <v>105000</v>
      </c>
      <c r="N54" s="9">
        <f t="shared" si="21"/>
        <v>3163.23</v>
      </c>
      <c r="O54" s="9">
        <f>SUM(O55:O74)</f>
        <v>51070</v>
      </c>
      <c r="P54" s="382">
        <f>SUM(P55:P74)</f>
        <v>1538.5348200000005</v>
      </c>
      <c r="Q54" s="35">
        <f>SUM(Q55:Q74)</f>
        <v>51070</v>
      </c>
      <c r="R54" s="8">
        <f>SUM(R55:R74)</f>
        <v>1538.5348200000005</v>
      </c>
      <c r="S54" s="782"/>
      <c r="T54" s="9"/>
      <c r="U54" s="9"/>
      <c r="V54" s="139"/>
    </row>
    <row r="55" spans="1:22" s="6" customFormat="1" ht="15" customHeight="1" hidden="1">
      <c r="A55" s="190"/>
      <c r="B55" s="839" t="s">
        <v>215</v>
      </c>
      <c r="C55" s="782"/>
      <c r="D55" s="382"/>
      <c r="E55" s="772"/>
      <c r="F55" s="139"/>
      <c r="G55" s="446"/>
      <c r="H55" s="470"/>
      <c r="I55" s="9"/>
      <c r="J55" s="9"/>
      <c r="K55" s="9">
        <v>4000</v>
      </c>
      <c r="L55" s="9">
        <f>K55*30.126/1000</f>
        <v>120.504</v>
      </c>
      <c r="M55" s="9"/>
      <c r="N55" s="9"/>
      <c r="O55" s="9"/>
      <c r="P55" s="382"/>
      <c r="Q55" s="35"/>
      <c r="R55" s="8"/>
      <c r="S55" s="782"/>
      <c r="T55" s="9"/>
      <c r="U55" s="9"/>
      <c r="V55" s="139"/>
    </row>
    <row r="56" spans="1:22" s="6" customFormat="1" ht="15" customHeight="1" hidden="1">
      <c r="A56" s="190"/>
      <c r="B56" s="839" t="s">
        <v>114</v>
      </c>
      <c r="C56" s="803"/>
      <c r="D56" s="1524"/>
      <c r="E56" s="772"/>
      <c r="F56" s="139"/>
      <c r="G56" s="446"/>
      <c r="H56" s="470"/>
      <c r="I56" s="9"/>
      <c r="J56" s="9"/>
      <c r="K56" s="9"/>
      <c r="L56" s="9"/>
      <c r="M56" s="9"/>
      <c r="N56" s="9"/>
      <c r="O56" s="9"/>
      <c r="P56" s="382"/>
      <c r="Q56" s="35"/>
      <c r="R56" s="8"/>
      <c r="S56" s="782"/>
      <c r="T56" s="9"/>
      <c r="U56" s="9"/>
      <c r="V56" s="139"/>
    </row>
    <row r="57" spans="1:22" s="6" customFormat="1" ht="15" customHeight="1">
      <c r="A57" s="190"/>
      <c r="B57" s="839" t="s">
        <v>196</v>
      </c>
      <c r="C57" s="803"/>
      <c r="D57" s="1524"/>
      <c r="E57" s="772"/>
      <c r="F57" s="139"/>
      <c r="G57" s="446">
        <v>15000</v>
      </c>
      <c r="H57" s="470">
        <f>G57*30.126/1000</f>
        <v>451.89</v>
      </c>
      <c r="I57" s="9">
        <v>15000</v>
      </c>
      <c r="J57" s="9">
        <f>I57*30.126/1000</f>
        <v>451.89</v>
      </c>
      <c r="K57" s="9"/>
      <c r="L57" s="9"/>
      <c r="M57" s="9"/>
      <c r="N57" s="9"/>
      <c r="O57" s="9">
        <v>15000</v>
      </c>
      <c r="P57" s="382">
        <f>O57*30.126/1000</f>
        <v>451.89</v>
      </c>
      <c r="Q57" s="35">
        <v>15000</v>
      </c>
      <c r="R57" s="8">
        <f>Q57*30.126/1000</f>
        <v>451.89</v>
      </c>
      <c r="S57" s="782"/>
      <c r="T57" s="9"/>
      <c r="U57" s="9"/>
      <c r="V57" s="139"/>
    </row>
    <row r="58" spans="1:22" s="6" customFormat="1" ht="15" customHeight="1">
      <c r="A58" s="190"/>
      <c r="B58" s="839" t="s">
        <v>197</v>
      </c>
      <c r="C58" s="803"/>
      <c r="D58" s="1524"/>
      <c r="E58" s="772"/>
      <c r="F58" s="139"/>
      <c r="G58" s="446">
        <v>2200</v>
      </c>
      <c r="H58" s="470">
        <f aca="true" t="shared" si="22" ref="H58:H72">G58*30.126/1000</f>
        <v>66.2772</v>
      </c>
      <c r="I58" s="9">
        <v>2200</v>
      </c>
      <c r="J58" s="9">
        <f aca="true" t="shared" si="23" ref="J58:J72">I58*30.126/1000</f>
        <v>66.2772</v>
      </c>
      <c r="K58" s="9"/>
      <c r="L58" s="9"/>
      <c r="M58" s="9"/>
      <c r="N58" s="9"/>
      <c r="O58" s="9">
        <v>2200</v>
      </c>
      <c r="P58" s="382">
        <f>O58*30.126/1000</f>
        <v>66.2772</v>
      </c>
      <c r="Q58" s="35">
        <v>2200</v>
      </c>
      <c r="R58" s="8">
        <f>Q58*30.126/1000</f>
        <v>66.2772</v>
      </c>
      <c r="S58" s="782"/>
      <c r="T58" s="9"/>
      <c r="U58" s="9"/>
      <c r="V58" s="139"/>
    </row>
    <row r="59" spans="1:22" s="6" customFormat="1" ht="15" customHeight="1">
      <c r="A59" s="190"/>
      <c r="B59" s="839" t="s">
        <v>198</v>
      </c>
      <c r="C59" s="803"/>
      <c r="D59" s="1524"/>
      <c r="E59" s="772"/>
      <c r="F59" s="139"/>
      <c r="G59" s="446">
        <v>17000</v>
      </c>
      <c r="H59" s="470">
        <f t="shared" si="22"/>
        <v>512.142</v>
      </c>
      <c r="I59" s="9">
        <v>17000</v>
      </c>
      <c r="J59" s="9">
        <f t="shared" si="23"/>
        <v>512.142</v>
      </c>
      <c r="K59" s="9"/>
      <c r="L59" s="9"/>
      <c r="M59" s="9"/>
      <c r="N59" s="9"/>
      <c r="O59" s="9">
        <v>17000</v>
      </c>
      <c r="P59" s="382">
        <f>O59*30.126/1000</f>
        <v>512.142</v>
      </c>
      <c r="Q59" s="35">
        <v>17000</v>
      </c>
      <c r="R59" s="8">
        <f>Q59*30.126/1000</f>
        <v>512.142</v>
      </c>
      <c r="S59" s="782"/>
      <c r="T59" s="9"/>
      <c r="U59" s="9"/>
      <c r="V59" s="139"/>
    </row>
    <row r="60" spans="1:22" s="6" customFormat="1" ht="15" customHeight="1">
      <c r="A60" s="190"/>
      <c r="B60" s="839" t="s">
        <v>195</v>
      </c>
      <c r="C60" s="803"/>
      <c r="D60" s="1524"/>
      <c r="E60" s="772"/>
      <c r="F60" s="139"/>
      <c r="G60" s="446">
        <v>670</v>
      </c>
      <c r="H60" s="470">
        <f t="shared" si="22"/>
        <v>20.184420000000003</v>
      </c>
      <c r="I60" s="9">
        <v>670</v>
      </c>
      <c r="J60" s="9">
        <f t="shared" si="23"/>
        <v>20.184420000000003</v>
      </c>
      <c r="K60" s="9"/>
      <c r="L60" s="9"/>
      <c r="M60" s="9"/>
      <c r="N60" s="9"/>
      <c r="O60" s="9">
        <v>670</v>
      </c>
      <c r="P60" s="382">
        <f>O60*30.126/1000</f>
        <v>20.184420000000003</v>
      </c>
      <c r="Q60" s="35">
        <v>670</v>
      </c>
      <c r="R60" s="8">
        <f>Q60*30.126/1000</f>
        <v>20.184420000000003</v>
      </c>
      <c r="S60" s="782"/>
      <c r="T60" s="9"/>
      <c r="U60" s="9"/>
      <c r="V60" s="139"/>
    </row>
    <row r="61" spans="1:22" s="6" customFormat="1" ht="15" customHeight="1">
      <c r="A61" s="190"/>
      <c r="B61" s="839" t="s">
        <v>199</v>
      </c>
      <c r="C61" s="803"/>
      <c r="D61" s="1524"/>
      <c r="E61" s="772"/>
      <c r="F61" s="139"/>
      <c r="G61" s="446">
        <v>5000</v>
      </c>
      <c r="H61" s="470">
        <f t="shared" si="22"/>
        <v>150.63</v>
      </c>
      <c r="I61" s="9">
        <v>5000</v>
      </c>
      <c r="J61" s="9">
        <f t="shared" si="23"/>
        <v>150.63</v>
      </c>
      <c r="K61" s="9">
        <v>500</v>
      </c>
      <c r="L61" s="9">
        <f>K61*30.126/1000</f>
        <v>15.063</v>
      </c>
      <c r="M61" s="9">
        <v>2000</v>
      </c>
      <c r="N61" s="9">
        <f>M61*30.126/1000</f>
        <v>60.252</v>
      </c>
      <c r="O61" s="9">
        <v>5000</v>
      </c>
      <c r="P61" s="382">
        <f>O61*30.126/1000</f>
        <v>150.63</v>
      </c>
      <c r="Q61" s="35">
        <v>5000</v>
      </c>
      <c r="R61" s="8">
        <f>Q61*30.126/1000</f>
        <v>150.63</v>
      </c>
      <c r="S61" s="782"/>
      <c r="T61" s="9"/>
      <c r="U61" s="9"/>
      <c r="V61" s="139"/>
    </row>
    <row r="62" spans="1:22" s="6" customFormat="1" ht="15" customHeight="1">
      <c r="A62" s="190"/>
      <c r="B62" s="839" t="s">
        <v>115</v>
      </c>
      <c r="C62" s="803"/>
      <c r="D62" s="1524"/>
      <c r="E62" s="772">
        <v>14280</v>
      </c>
      <c r="F62" s="139">
        <f>(E62*30.126)/1000</f>
        <v>430.19928000000004</v>
      </c>
      <c r="G62" s="446"/>
      <c r="H62" s="470"/>
      <c r="I62" s="9"/>
      <c r="J62" s="9"/>
      <c r="K62" s="9"/>
      <c r="L62" s="9"/>
      <c r="M62" s="9"/>
      <c r="N62" s="9"/>
      <c r="O62" s="9"/>
      <c r="P62" s="382"/>
      <c r="Q62" s="35"/>
      <c r="R62" s="8"/>
      <c r="S62" s="782"/>
      <c r="T62" s="9"/>
      <c r="U62" s="9"/>
      <c r="V62" s="139"/>
    </row>
    <row r="63" spans="1:22" s="6" customFormat="1" ht="15" customHeight="1">
      <c r="A63" s="190"/>
      <c r="B63" s="839" t="s">
        <v>194</v>
      </c>
      <c r="C63" s="803"/>
      <c r="D63" s="1524"/>
      <c r="E63" s="772"/>
      <c r="F63" s="139"/>
      <c r="G63" s="446">
        <v>1000</v>
      </c>
      <c r="H63" s="470">
        <f t="shared" si="22"/>
        <v>30.126</v>
      </c>
      <c r="I63" s="9">
        <v>1000</v>
      </c>
      <c r="J63" s="9">
        <f t="shared" si="23"/>
        <v>30.126</v>
      </c>
      <c r="K63" s="9"/>
      <c r="L63" s="9"/>
      <c r="M63" s="9"/>
      <c r="N63" s="9"/>
      <c r="O63" s="9">
        <v>1000</v>
      </c>
      <c r="P63" s="382">
        <f>O63*30.126/1000</f>
        <v>30.126</v>
      </c>
      <c r="Q63" s="35">
        <v>1000</v>
      </c>
      <c r="R63" s="8">
        <f>Q63*30.126/1000</f>
        <v>30.126</v>
      </c>
      <c r="S63" s="782"/>
      <c r="T63" s="9"/>
      <c r="U63" s="9"/>
      <c r="V63" s="139"/>
    </row>
    <row r="64" spans="1:22" s="6" customFormat="1" ht="15" customHeight="1">
      <c r="A64" s="190"/>
      <c r="B64" s="839" t="s">
        <v>136</v>
      </c>
      <c r="C64" s="803"/>
      <c r="D64" s="1524"/>
      <c r="E64" s="772">
        <v>3319</v>
      </c>
      <c r="F64" s="139">
        <f>(E64*30.126)/1000</f>
        <v>99.98819400000001</v>
      </c>
      <c r="G64" s="446"/>
      <c r="H64" s="470"/>
      <c r="I64" s="9"/>
      <c r="J64" s="9"/>
      <c r="K64" s="9"/>
      <c r="L64" s="9"/>
      <c r="M64" s="9"/>
      <c r="N64" s="9"/>
      <c r="O64" s="9"/>
      <c r="P64" s="382"/>
      <c r="Q64" s="35"/>
      <c r="R64" s="8"/>
      <c r="S64" s="782"/>
      <c r="T64" s="9"/>
      <c r="U64" s="9"/>
      <c r="V64" s="139"/>
    </row>
    <row r="65" spans="1:22" s="6" customFormat="1" ht="15" customHeight="1">
      <c r="A65" s="190"/>
      <c r="B65" s="839" t="s">
        <v>193</v>
      </c>
      <c r="C65" s="803"/>
      <c r="D65" s="1524"/>
      <c r="E65" s="772"/>
      <c r="F65" s="139"/>
      <c r="G65" s="446">
        <v>1400</v>
      </c>
      <c r="H65" s="470">
        <f t="shared" si="22"/>
        <v>42.1764</v>
      </c>
      <c r="I65" s="9">
        <v>1400</v>
      </c>
      <c r="J65" s="9">
        <f t="shared" si="23"/>
        <v>42.1764</v>
      </c>
      <c r="K65" s="9"/>
      <c r="L65" s="9"/>
      <c r="M65" s="9"/>
      <c r="N65" s="9"/>
      <c r="O65" s="9">
        <v>1400</v>
      </c>
      <c r="P65" s="382">
        <f>O65*30.126/1000</f>
        <v>42.1764</v>
      </c>
      <c r="Q65" s="35">
        <v>1400</v>
      </c>
      <c r="R65" s="8">
        <f>Q65*30.126/1000</f>
        <v>42.1764</v>
      </c>
      <c r="S65" s="782"/>
      <c r="T65" s="9"/>
      <c r="U65" s="9"/>
      <c r="V65" s="139"/>
    </row>
    <row r="66" spans="1:22" s="6" customFormat="1" ht="15" customHeight="1">
      <c r="A66" s="190"/>
      <c r="B66" s="839" t="s">
        <v>535</v>
      </c>
      <c r="C66" s="803"/>
      <c r="D66" s="1524"/>
      <c r="E66" s="772">
        <v>880</v>
      </c>
      <c r="F66" s="139">
        <f>(E66*30.126)/1000</f>
        <v>26.51088</v>
      </c>
      <c r="G66" s="446"/>
      <c r="H66" s="470"/>
      <c r="I66" s="9"/>
      <c r="J66" s="9"/>
      <c r="K66" s="9"/>
      <c r="L66" s="9"/>
      <c r="M66" s="9"/>
      <c r="N66" s="9"/>
      <c r="O66" s="9"/>
      <c r="P66" s="382"/>
      <c r="Q66" s="35"/>
      <c r="R66" s="8"/>
      <c r="S66" s="782"/>
      <c r="T66" s="9"/>
      <c r="U66" s="9"/>
      <c r="V66" s="139"/>
    </row>
    <row r="67" spans="1:22" s="6" customFormat="1" ht="15" customHeight="1" hidden="1">
      <c r="A67" s="190"/>
      <c r="B67" s="839" t="s">
        <v>216</v>
      </c>
      <c r="C67" s="803"/>
      <c r="D67" s="1524"/>
      <c r="E67" s="772"/>
      <c r="F67" s="139"/>
      <c r="G67" s="446"/>
      <c r="H67" s="470"/>
      <c r="I67" s="9"/>
      <c r="J67" s="9"/>
      <c r="K67" s="9">
        <v>700</v>
      </c>
      <c r="L67" s="9">
        <f>K67*30.126/1000</f>
        <v>21.0882</v>
      </c>
      <c r="M67" s="9">
        <v>1000</v>
      </c>
      <c r="N67" s="9">
        <f>M67*30.126/1000</f>
        <v>30.126</v>
      </c>
      <c r="O67" s="9"/>
      <c r="P67" s="382"/>
      <c r="Q67" s="35"/>
      <c r="R67" s="8"/>
      <c r="S67" s="782"/>
      <c r="T67" s="9"/>
      <c r="U67" s="9"/>
      <c r="V67" s="139"/>
    </row>
    <row r="68" spans="1:22" s="6" customFormat="1" ht="15" customHeight="1" hidden="1">
      <c r="A68" s="190"/>
      <c r="B68" s="839" t="s">
        <v>217</v>
      </c>
      <c r="C68" s="803"/>
      <c r="D68" s="1524"/>
      <c r="E68" s="772"/>
      <c r="F68" s="139"/>
      <c r="G68" s="446"/>
      <c r="H68" s="470"/>
      <c r="I68" s="9"/>
      <c r="J68" s="9"/>
      <c r="K68" s="9">
        <v>700</v>
      </c>
      <c r="L68" s="9">
        <f>K68*30.126/1000</f>
        <v>21.0882</v>
      </c>
      <c r="M68" s="9">
        <v>1000</v>
      </c>
      <c r="N68" s="9">
        <f>M68*30.126/1000</f>
        <v>30.126</v>
      </c>
      <c r="O68" s="9"/>
      <c r="P68" s="382"/>
      <c r="Q68" s="35"/>
      <c r="R68" s="8"/>
      <c r="S68" s="782"/>
      <c r="T68" s="9"/>
      <c r="U68" s="9"/>
      <c r="V68" s="139"/>
    </row>
    <row r="69" spans="1:22" s="6" customFormat="1" ht="15" customHeight="1" hidden="1">
      <c r="A69" s="190"/>
      <c r="B69" s="839" t="s">
        <v>218</v>
      </c>
      <c r="C69" s="803"/>
      <c r="D69" s="1524"/>
      <c r="E69" s="772"/>
      <c r="F69" s="139"/>
      <c r="G69" s="446"/>
      <c r="H69" s="470"/>
      <c r="I69" s="9"/>
      <c r="J69" s="9"/>
      <c r="K69" s="9"/>
      <c r="L69" s="9"/>
      <c r="M69" s="9">
        <v>1000</v>
      </c>
      <c r="N69" s="9">
        <f>M69*30.126/1000</f>
        <v>30.126</v>
      </c>
      <c r="O69" s="9"/>
      <c r="P69" s="382"/>
      <c r="Q69" s="35"/>
      <c r="R69" s="8"/>
      <c r="S69" s="782"/>
      <c r="T69" s="9"/>
      <c r="U69" s="9"/>
      <c r="V69" s="139"/>
    </row>
    <row r="70" spans="1:22" s="6" customFormat="1" ht="15" customHeight="1" hidden="1">
      <c r="A70" s="190"/>
      <c r="B70" s="839" t="s">
        <v>116</v>
      </c>
      <c r="C70" s="803"/>
      <c r="D70" s="1524"/>
      <c r="E70" s="772"/>
      <c r="F70" s="139"/>
      <c r="G70" s="446"/>
      <c r="H70" s="470"/>
      <c r="I70" s="9"/>
      <c r="J70" s="9"/>
      <c r="K70" s="9"/>
      <c r="L70" s="9"/>
      <c r="M70" s="9"/>
      <c r="N70" s="9"/>
      <c r="O70" s="9"/>
      <c r="P70" s="382"/>
      <c r="Q70" s="35"/>
      <c r="R70" s="8"/>
      <c r="S70" s="782"/>
      <c r="T70" s="9"/>
      <c r="U70" s="9"/>
      <c r="V70" s="139"/>
    </row>
    <row r="71" spans="1:22" s="6" customFormat="1" ht="15" customHeight="1">
      <c r="A71" s="190"/>
      <c r="B71" s="839" t="s">
        <v>200</v>
      </c>
      <c r="C71" s="828"/>
      <c r="D71" s="2366"/>
      <c r="E71" s="851"/>
      <c r="F71" s="308"/>
      <c r="G71" s="611">
        <v>500</v>
      </c>
      <c r="H71" s="470">
        <f t="shared" si="22"/>
        <v>15.063</v>
      </c>
      <c r="I71" s="33">
        <v>500</v>
      </c>
      <c r="J71" s="9">
        <f t="shared" si="23"/>
        <v>15.063</v>
      </c>
      <c r="K71" s="33"/>
      <c r="L71" s="9"/>
      <c r="M71" s="33"/>
      <c r="N71" s="9"/>
      <c r="O71" s="33">
        <v>500</v>
      </c>
      <c r="P71" s="382">
        <f>O71*30.126/1000</f>
        <v>15.063</v>
      </c>
      <c r="Q71" s="40">
        <v>500</v>
      </c>
      <c r="R71" s="8">
        <f>Q71*30.126/1000</f>
        <v>15.063</v>
      </c>
      <c r="S71" s="1531"/>
      <c r="T71" s="9"/>
      <c r="U71" s="33"/>
      <c r="V71" s="139"/>
    </row>
    <row r="72" spans="1:22" s="6" customFormat="1" ht="15" customHeight="1">
      <c r="A72" s="190"/>
      <c r="B72" s="839" t="s">
        <v>201</v>
      </c>
      <c r="C72" s="828"/>
      <c r="D72" s="2366"/>
      <c r="E72" s="851"/>
      <c r="F72" s="308"/>
      <c r="G72" s="611">
        <v>8300</v>
      </c>
      <c r="H72" s="470">
        <f t="shared" si="22"/>
        <v>250.0458</v>
      </c>
      <c r="I72" s="33">
        <v>8300</v>
      </c>
      <c r="J72" s="9">
        <f t="shared" si="23"/>
        <v>250.0458</v>
      </c>
      <c r="K72" s="33"/>
      <c r="L72" s="9"/>
      <c r="M72" s="33"/>
      <c r="N72" s="9"/>
      <c r="O72" s="33">
        <v>8300</v>
      </c>
      <c r="P72" s="382">
        <f>O72*30.126/1000</f>
        <v>250.0458</v>
      </c>
      <c r="Q72" s="40">
        <v>8300</v>
      </c>
      <c r="R72" s="8">
        <f>Q72*30.126/1000</f>
        <v>250.0458</v>
      </c>
      <c r="S72" s="1531"/>
      <c r="T72" s="9"/>
      <c r="U72" s="33"/>
      <c r="V72" s="139"/>
    </row>
    <row r="73" spans="1:22" s="6" customFormat="1" ht="15" customHeight="1" hidden="1">
      <c r="A73" s="190"/>
      <c r="B73" s="840" t="s">
        <v>219</v>
      </c>
      <c r="C73" s="828"/>
      <c r="D73" s="2366"/>
      <c r="E73" s="2558"/>
      <c r="F73" s="2559"/>
      <c r="G73" s="611"/>
      <c r="H73" s="667"/>
      <c r="I73" s="33"/>
      <c r="J73" s="33"/>
      <c r="K73" s="33"/>
      <c r="L73" s="9"/>
      <c r="M73" s="33">
        <v>100000</v>
      </c>
      <c r="N73" s="9">
        <f>M73*30.126/1000</f>
        <v>3012.6</v>
      </c>
      <c r="O73" s="33"/>
      <c r="P73" s="1560"/>
      <c r="Q73" s="40"/>
      <c r="R73" s="31"/>
      <c r="S73" s="1531"/>
      <c r="T73" s="33"/>
      <c r="U73" s="33"/>
      <c r="V73" s="308"/>
    </row>
    <row r="74" spans="1:22" s="6" customFormat="1" ht="15" customHeight="1" thickBot="1">
      <c r="A74" s="193"/>
      <c r="B74" s="841" t="s">
        <v>220</v>
      </c>
      <c r="C74" s="829"/>
      <c r="D74" s="2225"/>
      <c r="E74" s="2374">
        <v>94602</v>
      </c>
      <c r="F74" s="380">
        <f>(E74*30.126)/1000</f>
        <v>2849.979852</v>
      </c>
      <c r="G74" s="664"/>
      <c r="H74" s="379"/>
      <c r="I74" s="141"/>
      <c r="J74" s="141"/>
      <c r="K74" s="141">
        <v>100000</v>
      </c>
      <c r="L74" s="141">
        <f>K74*30.126/1000</f>
        <v>3012.6</v>
      </c>
      <c r="M74" s="141"/>
      <c r="N74" s="141"/>
      <c r="O74" s="141"/>
      <c r="P74" s="1759"/>
      <c r="Q74" s="1100"/>
      <c r="R74" s="1299"/>
      <c r="S74" s="2230"/>
      <c r="T74" s="141"/>
      <c r="U74" s="141"/>
      <c r="V74" s="380"/>
    </row>
    <row r="75" spans="1:22" s="6" customFormat="1" ht="13.5">
      <c r="A75" s="64"/>
      <c r="B75" s="65"/>
      <c r="C75" s="337"/>
      <c r="D75" s="337"/>
      <c r="E75" s="4"/>
      <c r="F75" s="4"/>
      <c r="G75" s="4"/>
      <c r="H75" s="4"/>
      <c r="I75" s="4"/>
      <c r="J75" s="4"/>
      <c r="K75" s="4"/>
      <c r="L75" s="4"/>
      <c r="N75" s="4"/>
      <c r="O75" s="4"/>
      <c r="P75" s="4"/>
      <c r="Q75" s="4"/>
      <c r="R75" s="4"/>
      <c r="S75" s="4"/>
      <c r="T75" s="4"/>
      <c r="U75" s="4"/>
      <c r="V75" s="4"/>
    </row>
    <row r="76" spans="1:22" s="6" customFormat="1" ht="13.5">
      <c r="A76" s="64"/>
      <c r="B76" s="66"/>
      <c r="C76" s="335"/>
      <c r="D76" s="335"/>
      <c r="E76" s="4"/>
      <c r="F76" s="4"/>
      <c r="G76" s="4"/>
      <c r="H76" s="4"/>
      <c r="I76" s="4"/>
      <c r="J76" s="4"/>
      <c r="K76" s="4"/>
      <c r="L76" s="4"/>
      <c r="N76" s="4"/>
      <c r="O76" s="4"/>
      <c r="P76" s="4"/>
      <c r="Q76" s="4"/>
      <c r="R76" s="4"/>
      <c r="S76" s="4"/>
      <c r="T76" s="4"/>
      <c r="U76" s="4"/>
      <c r="V76" s="4"/>
    </row>
    <row r="77" spans="1:22" s="6" customFormat="1" ht="13.5">
      <c r="A77" s="64"/>
      <c r="B77" s="68"/>
      <c r="C77" s="336"/>
      <c r="D77" s="336"/>
      <c r="E77" s="67"/>
      <c r="F77" s="67"/>
      <c r="G77" s="67"/>
      <c r="H77" s="67"/>
      <c r="I77" s="67"/>
      <c r="J77" s="67"/>
      <c r="K77" s="67"/>
      <c r="L77" s="67"/>
      <c r="N77" s="67"/>
      <c r="O77" s="67"/>
      <c r="P77" s="67"/>
      <c r="Q77" s="67"/>
      <c r="R77" s="67"/>
      <c r="S77" s="67"/>
      <c r="T77" s="67"/>
      <c r="U77" s="67"/>
      <c r="V77" s="67"/>
    </row>
    <row r="78" spans="1:22" s="6" customFormat="1" ht="12.75">
      <c r="A78" s="16"/>
      <c r="C78" s="276"/>
      <c r="D78" s="276"/>
      <c r="E78" s="4"/>
      <c r="F78" s="4"/>
      <c r="G78" s="4"/>
      <c r="H78" s="4"/>
      <c r="I78" s="4"/>
      <c r="J78" s="4"/>
      <c r="K78" s="4"/>
      <c r="L78" s="4"/>
      <c r="N78" s="4"/>
      <c r="O78" s="4"/>
      <c r="P78" s="4"/>
      <c r="Q78" s="4"/>
      <c r="R78" s="4"/>
      <c r="S78" s="4"/>
      <c r="T78" s="4"/>
      <c r="U78" s="4"/>
      <c r="V78" s="4"/>
    </row>
    <row r="79" spans="1:22" s="6" customFormat="1" ht="12.75">
      <c r="A79" s="16"/>
      <c r="C79" s="276"/>
      <c r="D79" s="276"/>
      <c r="E79" s="4"/>
      <c r="F79" s="4"/>
      <c r="G79" s="4"/>
      <c r="H79" s="4"/>
      <c r="I79" s="4"/>
      <c r="J79" s="4"/>
      <c r="K79" s="4"/>
      <c r="L79" s="4"/>
      <c r="N79" s="4"/>
      <c r="O79" s="4"/>
      <c r="P79" s="4"/>
      <c r="Q79" s="4"/>
      <c r="R79" s="4"/>
      <c r="S79" s="4"/>
      <c r="T79" s="4"/>
      <c r="U79" s="4"/>
      <c r="V79" s="4"/>
    </row>
    <row r="80" spans="1:22" s="6" customFormat="1" ht="12.75">
      <c r="A80" s="16"/>
      <c r="C80" s="276"/>
      <c r="D80" s="276"/>
      <c r="E80" s="4"/>
      <c r="F80" s="4"/>
      <c r="G80" s="4"/>
      <c r="H80" s="4"/>
      <c r="I80" s="4"/>
      <c r="J80" s="4"/>
      <c r="K80" s="4"/>
      <c r="L80" s="4"/>
      <c r="N80" s="4"/>
      <c r="O80" s="4"/>
      <c r="P80" s="4"/>
      <c r="Q80" s="4"/>
      <c r="R80" s="4"/>
      <c r="S80" s="4"/>
      <c r="T80" s="4"/>
      <c r="U80" s="4"/>
      <c r="V80" s="4"/>
    </row>
    <row r="81" spans="1:22" s="6" customFormat="1" ht="12.75">
      <c r="A81" s="16"/>
      <c r="C81" s="276"/>
      <c r="D81" s="276"/>
      <c r="E81" s="4"/>
      <c r="F81" s="4"/>
      <c r="G81" s="4"/>
      <c r="H81" s="4"/>
      <c r="I81" s="4"/>
      <c r="J81" s="4"/>
      <c r="K81" s="4"/>
      <c r="L81" s="4"/>
      <c r="N81" s="4"/>
      <c r="O81" s="4"/>
      <c r="P81" s="4"/>
      <c r="Q81" s="4"/>
      <c r="R81" s="4"/>
      <c r="S81" s="4"/>
      <c r="T81" s="4"/>
      <c r="U81" s="4"/>
      <c r="V81" s="4"/>
    </row>
    <row r="82" spans="1:22" s="6" customFormat="1" ht="12.75">
      <c r="A82" s="16"/>
      <c r="C82" s="276"/>
      <c r="D82" s="276"/>
      <c r="E82" s="4"/>
      <c r="F82" s="4"/>
      <c r="G82" s="4"/>
      <c r="H82" s="4"/>
      <c r="I82" s="4"/>
      <c r="J82" s="4"/>
      <c r="K82" s="4"/>
      <c r="L82" s="4"/>
      <c r="N82" s="4"/>
      <c r="O82" s="4"/>
      <c r="P82" s="4"/>
      <c r="Q82" s="4"/>
      <c r="R82" s="4"/>
      <c r="S82" s="4"/>
      <c r="T82" s="4"/>
      <c r="U82" s="4"/>
      <c r="V82" s="4"/>
    </row>
    <row r="83" spans="1:22" s="6" customFormat="1" ht="12.75">
      <c r="A83" s="16"/>
      <c r="C83" s="276"/>
      <c r="D83" s="276"/>
      <c r="E83" s="4"/>
      <c r="F83" s="4"/>
      <c r="G83" s="4"/>
      <c r="H83" s="4"/>
      <c r="I83" s="4"/>
      <c r="J83" s="4"/>
      <c r="K83" s="4"/>
      <c r="L83" s="4"/>
      <c r="N83" s="4"/>
      <c r="O83" s="4"/>
      <c r="P83" s="4"/>
      <c r="Q83" s="4"/>
      <c r="R83" s="4"/>
      <c r="S83" s="4"/>
      <c r="T83" s="4"/>
      <c r="U83" s="4"/>
      <c r="V83" s="4"/>
    </row>
    <row r="84" spans="1:22" s="6" customFormat="1" ht="12.75">
      <c r="A84" s="16"/>
      <c r="C84" s="276"/>
      <c r="D84" s="276"/>
      <c r="E84" s="4"/>
      <c r="F84" s="4"/>
      <c r="G84" s="4"/>
      <c r="H84" s="4"/>
      <c r="I84" s="4"/>
      <c r="J84" s="4"/>
      <c r="K84" s="4"/>
      <c r="L84" s="4"/>
      <c r="N84" s="4"/>
      <c r="O84" s="4"/>
      <c r="P84" s="4"/>
      <c r="Q84" s="4"/>
      <c r="R84" s="4"/>
      <c r="S84" s="4"/>
      <c r="T84" s="4"/>
      <c r="U84" s="4"/>
      <c r="V84" s="4"/>
    </row>
    <row r="85" spans="1:22" s="6" customFormat="1" ht="12.75">
      <c r="A85" s="16"/>
      <c r="C85" s="276"/>
      <c r="D85" s="276"/>
      <c r="E85" s="4"/>
      <c r="F85" s="4"/>
      <c r="G85" s="4"/>
      <c r="H85" s="4"/>
      <c r="I85" s="4"/>
      <c r="J85" s="4"/>
      <c r="K85" s="4"/>
      <c r="L85" s="4"/>
      <c r="N85" s="4"/>
      <c r="O85" s="4"/>
      <c r="P85" s="4"/>
      <c r="Q85" s="4"/>
      <c r="R85" s="4"/>
      <c r="S85" s="4"/>
      <c r="T85" s="4"/>
      <c r="U85" s="4"/>
      <c r="V85" s="4"/>
    </row>
    <row r="86" spans="1:22" s="6" customFormat="1" ht="12.75">
      <c r="A86" s="16"/>
      <c r="C86" s="276"/>
      <c r="D86" s="276"/>
      <c r="E86" s="4"/>
      <c r="F86" s="4"/>
      <c r="G86" s="4"/>
      <c r="H86" s="4"/>
      <c r="I86" s="4"/>
      <c r="J86" s="4"/>
      <c r="K86" s="4"/>
      <c r="L86" s="4"/>
      <c r="N86" s="4"/>
      <c r="O86" s="4"/>
      <c r="P86" s="4"/>
      <c r="Q86" s="4"/>
      <c r="R86" s="4"/>
      <c r="S86" s="4"/>
      <c r="T86" s="4"/>
      <c r="U86" s="4"/>
      <c r="V86" s="4"/>
    </row>
    <row r="87" spans="1:22" s="6" customFormat="1" ht="12.75">
      <c r="A87" s="16"/>
      <c r="C87" s="276"/>
      <c r="D87" s="276"/>
      <c r="E87" s="4"/>
      <c r="F87" s="4"/>
      <c r="G87" s="4"/>
      <c r="H87" s="4"/>
      <c r="I87" s="4"/>
      <c r="J87" s="4"/>
      <c r="K87" s="4"/>
      <c r="L87" s="4"/>
      <c r="N87" s="4"/>
      <c r="O87" s="4"/>
      <c r="P87" s="4"/>
      <c r="Q87" s="4"/>
      <c r="R87" s="4"/>
      <c r="S87" s="4"/>
      <c r="T87" s="4"/>
      <c r="U87" s="4"/>
      <c r="V87" s="4"/>
    </row>
    <row r="88" spans="1:22" s="6" customFormat="1" ht="12.75">
      <c r="A88" s="16"/>
      <c r="C88" s="276"/>
      <c r="D88" s="276"/>
      <c r="E88" s="4"/>
      <c r="F88" s="4"/>
      <c r="G88" s="4"/>
      <c r="H88" s="4"/>
      <c r="I88" s="4"/>
      <c r="J88" s="4"/>
      <c r="K88" s="4"/>
      <c r="L88" s="4"/>
      <c r="N88" s="4"/>
      <c r="O88" s="4"/>
      <c r="P88" s="4"/>
      <c r="Q88" s="4"/>
      <c r="R88" s="4"/>
      <c r="S88" s="4"/>
      <c r="T88" s="4"/>
      <c r="U88" s="4"/>
      <c r="V88" s="4"/>
    </row>
    <row r="89" spans="1:22" s="6" customFormat="1" ht="12.75">
      <c r="A89" s="16"/>
      <c r="C89" s="276"/>
      <c r="D89" s="276"/>
      <c r="E89" s="4"/>
      <c r="F89" s="4"/>
      <c r="G89" s="4"/>
      <c r="H89" s="4"/>
      <c r="I89" s="4"/>
      <c r="J89" s="4"/>
      <c r="K89" s="4"/>
      <c r="L89" s="4"/>
      <c r="N89" s="4"/>
      <c r="O89" s="4"/>
      <c r="P89" s="4"/>
      <c r="Q89" s="4"/>
      <c r="R89" s="4"/>
      <c r="S89" s="4"/>
      <c r="T89" s="4"/>
      <c r="U89" s="4"/>
      <c r="V89" s="4"/>
    </row>
    <row r="90" spans="1:22" s="6" customFormat="1" ht="12.75">
      <c r="A90" s="16"/>
      <c r="C90" s="276"/>
      <c r="D90" s="276"/>
      <c r="E90" s="4"/>
      <c r="F90" s="4"/>
      <c r="G90" s="4"/>
      <c r="H90" s="4"/>
      <c r="I90" s="4"/>
      <c r="J90" s="4"/>
      <c r="K90" s="4"/>
      <c r="L90" s="4"/>
      <c r="N90" s="4"/>
      <c r="O90" s="4"/>
      <c r="P90" s="4"/>
      <c r="Q90" s="4"/>
      <c r="R90" s="4"/>
      <c r="S90" s="4"/>
      <c r="T90" s="4"/>
      <c r="U90" s="4"/>
      <c r="V90" s="4"/>
    </row>
    <row r="91" spans="1:22" s="6" customFormat="1" ht="12.75">
      <c r="A91" s="16"/>
      <c r="C91" s="276"/>
      <c r="D91" s="276"/>
      <c r="E91" s="4"/>
      <c r="F91" s="4"/>
      <c r="G91" s="4"/>
      <c r="H91" s="4"/>
      <c r="I91" s="4"/>
      <c r="J91" s="4"/>
      <c r="K91" s="4"/>
      <c r="L91" s="4"/>
      <c r="N91" s="4"/>
      <c r="O91" s="4"/>
      <c r="P91" s="4"/>
      <c r="Q91" s="4"/>
      <c r="R91" s="4"/>
      <c r="S91" s="4"/>
      <c r="T91" s="4"/>
      <c r="U91" s="4"/>
      <c r="V91" s="4"/>
    </row>
    <row r="92" spans="1:22" s="6" customFormat="1" ht="12.75">
      <c r="A92" s="16"/>
      <c r="C92" s="276"/>
      <c r="D92" s="276"/>
      <c r="E92" s="4"/>
      <c r="F92" s="4"/>
      <c r="G92" s="4"/>
      <c r="H92" s="4"/>
      <c r="I92" s="4"/>
      <c r="J92" s="4"/>
      <c r="K92" s="4"/>
      <c r="L92" s="4"/>
      <c r="N92" s="4"/>
      <c r="O92" s="4"/>
      <c r="P92" s="4"/>
      <c r="Q92" s="4"/>
      <c r="R92" s="4"/>
      <c r="S92" s="4"/>
      <c r="T92" s="4"/>
      <c r="U92" s="4"/>
      <c r="V92" s="4"/>
    </row>
    <row r="93" spans="1:22" s="6" customFormat="1" ht="12.75">
      <c r="A93" s="16"/>
      <c r="C93" s="276"/>
      <c r="D93" s="276"/>
      <c r="E93" s="4"/>
      <c r="F93" s="4"/>
      <c r="G93" s="4"/>
      <c r="H93" s="4"/>
      <c r="I93" s="4"/>
      <c r="J93" s="4"/>
      <c r="K93" s="4"/>
      <c r="L93" s="4"/>
      <c r="N93" s="4"/>
      <c r="O93" s="4"/>
      <c r="P93" s="4"/>
      <c r="Q93" s="4"/>
      <c r="R93" s="4"/>
      <c r="S93" s="4"/>
      <c r="T93" s="4"/>
      <c r="U93" s="4"/>
      <c r="V93" s="4"/>
    </row>
    <row r="94" spans="1:22" s="6" customFormat="1" ht="12.75">
      <c r="A94" s="16"/>
      <c r="C94" s="276"/>
      <c r="D94" s="276"/>
      <c r="E94" s="4"/>
      <c r="F94" s="4"/>
      <c r="G94" s="4"/>
      <c r="H94" s="4"/>
      <c r="I94" s="4"/>
      <c r="J94" s="4"/>
      <c r="K94" s="4"/>
      <c r="L94" s="4"/>
      <c r="N94" s="4"/>
      <c r="O94" s="4"/>
      <c r="P94" s="4"/>
      <c r="Q94" s="4"/>
      <c r="R94" s="4"/>
      <c r="S94" s="4"/>
      <c r="T94" s="4"/>
      <c r="U94" s="4"/>
      <c r="V94" s="4"/>
    </row>
    <row r="95" spans="1:22" s="6" customFormat="1" ht="12.75">
      <c r="A95" s="16"/>
      <c r="C95" s="276"/>
      <c r="D95" s="276"/>
      <c r="E95" s="4"/>
      <c r="F95" s="4"/>
      <c r="G95" s="4"/>
      <c r="H95" s="4"/>
      <c r="I95" s="4"/>
      <c r="J95" s="4"/>
      <c r="K95" s="4"/>
      <c r="L95" s="4"/>
      <c r="N95" s="4"/>
      <c r="O95" s="4"/>
      <c r="P95" s="4"/>
      <c r="Q95" s="4"/>
      <c r="R95" s="4"/>
      <c r="S95" s="4"/>
      <c r="T95" s="4"/>
      <c r="U95" s="4"/>
      <c r="V95" s="4"/>
    </row>
    <row r="96" spans="1:22" s="6" customFormat="1" ht="12.75">
      <c r="A96" s="16"/>
      <c r="C96" s="276"/>
      <c r="D96" s="276"/>
      <c r="E96" s="4"/>
      <c r="F96" s="4"/>
      <c r="G96" s="4"/>
      <c r="H96" s="4"/>
      <c r="I96" s="4"/>
      <c r="J96" s="4"/>
      <c r="K96" s="4"/>
      <c r="L96" s="4"/>
      <c r="N96" s="4"/>
      <c r="O96" s="4"/>
      <c r="P96" s="4"/>
      <c r="Q96" s="4"/>
      <c r="R96" s="4"/>
      <c r="S96" s="4"/>
      <c r="T96" s="4"/>
      <c r="U96" s="4"/>
      <c r="V96" s="4"/>
    </row>
    <row r="97" spans="1:22" s="6" customFormat="1" ht="12.75">
      <c r="A97" s="16"/>
      <c r="C97" s="276"/>
      <c r="D97" s="276"/>
      <c r="E97" s="4"/>
      <c r="F97" s="4"/>
      <c r="G97" s="4"/>
      <c r="H97" s="4"/>
      <c r="I97" s="4"/>
      <c r="J97" s="4"/>
      <c r="K97" s="4"/>
      <c r="L97" s="4"/>
      <c r="N97" s="4"/>
      <c r="O97" s="4"/>
      <c r="P97" s="4"/>
      <c r="Q97" s="4"/>
      <c r="R97" s="4"/>
      <c r="S97" s="4"/>
      <c r="T97" s="4"/>
      <c r="U97" s="4"/>
      <c r="V97" s="4"/>
    </row>
    <row r="98" spans="1:22" s="6" customFormat="1" ht="12.75">
      <c r="A98" s="16"/>
      <c r="C98" s="276"/>
      <c r="D98" s="276"/>
      <c r="E98" s="4"/>
      <c r="F98" s="4"/>
      <c r="G98" s="4"/>
      <c r="H98" s="4"/>
      <c r="I98" s="4"/>
      <c r="J98" s="4"/>
      <c r="K98" s="4"/>
      <c r="L98" s="4"/>
      <c r="N98" s="4"/>
      <c r="O98" s="4"/>
      <c r="P98" s="4"/>
      <c r="Q98" s="4"/>
      <c r="R98" s="4"/>
      <c r="S98" s="4"/>
      <c r="T98" s="4"/>
      <c r="U98" s="4"/>
      <c r="V98" s="4"/>
    </row>
    <row r="99" spans="1:22" s="6" customFormat="1" ht="12.75">
      <c r="A99" s="16"/>
      <c r="C99" s="276"/>
      <c r="D99" s="276"/>
      <c r="E99" s="4"/>
      <c r="F99" s="4"/>
      <c r="G99" s="4"/>
      <c r="H99" s="4"/>
      <c r="I99" s="4"/>
      <c r="J99" s="4"/>
      <c r="K99" s="4"/>
      <c r="L99" s="4"/>
      <c r="N99" s="4"/>
      <c r="O99" s="4"/>
      <c r="P99" s="4"/>
      <c r="Q99" s="4"/>
      <c r="R99" s="4"/>
      <c r="S99" s="4"/>
      <c r="T99" s="4"/>
      <c r="U99" s="4"/>
      <c r="V99" s="4"/>
    </row>
    <row r="100" spans="1:22" s="6" customFormat="1" ht="12.75">
      <c r="A100" s="16"/>
      <c r="C100" s="276"/>
      <c r="D100" s="276"/>
      <c r="E100" s="4"/>
      <c r="F100" s="4"/>
      <c r="G100" s="4"/>
      <c r="H100" s="4"/>
      <c r="I100" s="4"/>
      <c r="J100" s="4"/>
      <c r="K100" s="4"/>
      <c r="L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s="6" customFormat="1" ht="12.75">
      <c r="A101" s="16"/>
      <c r="C101" s="276"/>
      <c r="D101" s="276"/>
      <c r="E101" s="4"/>
      <c r="F101" s="4"/>
      <c r="G101" s="4"/>
      <c r="H101" s="4"/>
      <c r="I101" s="4"/>
      <c r="J101" s="4"/>
      <c r="K101" s="4"/>
      <c r="L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s="6" customFormat="1" ht="12.75">
      <c r="A102" s="16"/>
      <c r="C102" s="276"/>
      <c r="D102" s="276"/>
      <c r="E102" s="4"/>
      <c r="F102" s="4"/>
      <c r="G102" s="4"/>
      <c r="H102" s="4"/>
      <c r="I102" s="4"/>
      <c r="J102" s="4"/>
      <c r="K102" s="4"/>
      <c r="L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s="6" customFormat="1" ht="12.75">
      <c r="A103" s="16"/>
      <c r="C103" s="276"/>
      <c r="D103" s="276"/>
      <c r="E103" s="4"/>
      <c r="F103" s="4"/>
      <c r="G103" s="4"/>
      <c r="H103" s="4"/>
      <c r="I103" s="4"/>
      <c r="J103" s="4"/>
      <c r="K103" s="4"/>
      <c r="L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s="6" customFormat="1" ht="12.75">
      <c r="A104" s="16"/>
      <c r="C104" s="276"/>
      <c r="D104" s="276"/>
      <c r="E104" s="4"/>
      <c r="F104" s="4"/>
      <c r="G104" s="4"/>
      <c r="H104" s="4"/>
      <c r="I104" s="4"/>
      <c r="J104" s="4"/>
      <c r="K104" s="4"/>
      <c r="L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s="6" customFormat="1" ht="12.75">
      <c r="A105" s="16"/>
      <c r="C105" s="276"/>
      <c r="D105" s="276"/>
      <c r="E105" s="4"/>
      <c r="F105" s="4"/>
      <c r="G105" s="4"/>
      <c r="H105" s="4"/>
      <c r="I105" s="4"/>
      <c r="J105" s="4"/>
      <c r="K105" s="4"/>
      <c r="L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s="6" customFormat="1" ht="12.75">
      <c r="A106" s="16"/>
      <c r="C106" s="276"/>
      <c r="D106" s="276"/>
      <c r="E106" s="4"/>
      <c r="F106" s="4"/>
      <c r="G106" s="4"/>
      <c r="H106" s="4"/>
      <c r="I106" s="4"/>
      <c r="J106" s="4"/>
      <c r="K106" s="4"/>
      <c r="L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s="6" customFormat="1" ht="12.75">
      <c r="A107" s="16"/>
      <c r="C107" s="276"/>
      <c r="D107" s="276"/>
      <c r="E107" s="4"/>
      <c r="F107" s="4"/>
      <c r="G107" s="4"/>
      <c r="H107" s="4"/>
      <c r="I107" s="4"/>
      <c r="J107" s="4"/>
      <c r="K107" s="4"/>
      <c r="L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s="6" customFormat="1" ht="12.75">
      <c r="A108" s="16"/>
      <c r="C108" s="276"/>
      <c r="D108" s="276"/>
      <c r="E108" s="4"/>
      <c r="F108" s="4"/>
      <c r="G108" s="4"/>
      <c r="H108" s="4"/>
      <c r="I108" s="4"/>
      <c r="J108" s="4"/>
      <c r="K108" s="4"/>
      <c r="L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s="6" customFormat="1" ht="12.75">
      <c r="A109" s="16"/>
      <c r="C109" s="276"/>
      <c r="D109" s="276"/>
      <c r="E109" s="4"/>
      <c r="F109" s="4"/>
      <c r="G109" s="4"/>
      <c r="H109" s="4"/>
      <c r="I109" s="4"/>
      <c r="J109" s="4"/>
      <c r="K109" s="4"/>
      <c r="L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s="6" customFormat="1" ht="12.75">
      <c r="A110" s="16"/>
      <c r="C110" s="276"/>
      <c r="D110" s="276"/>
      <c r="E110" s="4"/>
      <c r="F110" s="4"/>
      <c r="G110" s="4"/>
      <c r="H110" s="4"/>
      <c r="I110" s="4"/>
      <c r="J110" s="4"/>
      <c r="K110" s="4"/>
      <c r="L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s="6" customFormat="1" ht="12.75">
      <c r="A111" s="16"/>
      <c r="C111" s="276"/>
      <c r="D111" s="276"/>
      <c r="E111" s="4"/>
      <c r="F111" s="4"/>
      <c r="G111" s="4"/>
      <c r="H111" s="4"/>
      <c r="I111" s="4"/>
      <c r="J111" s="4"/>
      <c r="K111" s="4"/>
      <c r="L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s="6" customFormat="1" ht="12.75">
      <c r="A112" s="16"/>
      <c r="C112" s="276"/>
      <c r="D112" s="276"/>
      <c r="E112" s="4"/>
      <c r="F112" s="4"/>
      <c r="G112" s="4"/>
      <c r="H112" s="4"/>
      <c r="I112" s="4"/>
      <c r="J112" s="4"/>
      <c r="K112" s="4"/>
      <c r="L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s="6" customFormat="1" ht="12.75">
      <c r="A113" s="16"/>
      <c r="C113" s="276"/>
      <c r="D113" s="276"/>
      <c r="E113" s="4"/>
      <c r="F113" s="4"/>
      <c r="G113" s="4"/>
      <c r="H113" s="4"/>
      <c r="I113" s="4"/>
      <c r="J113" s="4"/>
      <c r="K113" s="4"/>
      <c r="L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s="6" customFormat="1" ht="12.75">
      <c r="A114" s="16"/>
      <c r="C114" s="276"/>
      <c r="D114" s="276"/>
      <c r="E114" s="4"/>
      <c r="F114" s="4"/>
      <c r="G114" s="4"/>
      <c r="H114" s="4"/>
      <c r="I114" s="4"/>
      <c r="J114" s="4"/>
      <c r="K114" s="4"/>
      <c r="L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s="6" customFormat="1" ht="12.75">
      <c r="A115" s="16"/>
      <c r="C115" s="276"/>
      <c r="D115" s="276"/>
      <c r="E115" s="4"/>
      <c r="F115" s="4"/>
      <c r="G115" s="4"/>
      <c r="H115" s="4"/>
      <c r="I115" s="4"/>
      <c r="J115" s="4"/>
      <c r="K115" s="4"/>
      <c r="L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s="6" customFormat="1" ht="12.75">
      <c r="A116" s="16"/>
      <c r="C116" s="276"/>
      <c r="D116" s="276"/>
      <c r="E116" s="4"/>
      <c r="F116" s="4"/>
      <c r="G116" s="4"/>
      <c r="H116" s="4"/>
      <c r="I116" s="4"/>
      <c r="J116" s="4"/>
      <c r="K116" s="4"/>
      <c r="L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s="6" customFormat="1" ht="12.75">
      <c r="A117" s="16"/>
      <c r="C117" s="276"/>
      <c r="D117" s="276"/>
      <c r="E117" s="4"/>
      <c r="F117" s="4"/>
      <c r="G117" s="4"/>
      <c r="H117" s="4"/>
      <c r="I117" s="4"/>
      <c r="J117" s="4"/>
      <c r="K117" s="4"/>
      <c r="L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s="6" customFormat="1" ht="12.75">
      <c r="A118" s="16"/>
      <c r="C118" s="276"/>
      <c r="D118" s="276"/>
      <c r="E118" s="4"/>
      <c r="F118" s="4"/>
      <c r="G118" s="4"/>
      <c r="H118" s="4"/>
      <c r="I118" s="4"/>
      <c r="J118" s="4"/>
      <c r="K118" s="4"/>
      <c r="L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s="6" customFormat="1" ht="12.75">
      <c r="A119" s="16"/>
      <c r="C119" s="276"/>
      <c r="D119" s="276"/>
      <c r="E119" s="4"/>
      <c r="F119" s="4"/>
      <c r="G119" s="4"/>
      <c r="H119" s="4"/>
      <c r="I119" s="4"/>
      <c r="J119" s="4"/>
      <c r="K119" s="4"/>
      <c r="L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s="6" customFormat="1" ht="12.75">
      <c r="A120" s="16"/>
      <c r="C120" s="276"/>
      <c r="D120" s="276"/>
      <c r="E120" s="4"/>
      <c r="F120" s="4"/>
      <c r="G120" s="4"/>
      <c r="H120" s="4"/>
      <c r="I120" s="4"/>
      <c r="J120" s="4"/>
      <c r="K120" s="4"/>
      <c r="L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s="6" customFormat="1" ht="12.75">
      <c r="A121" s="16"/>
      <c r="C121" s="276"/>
      <c r="D121" s="276"/>
      <c r="E121" s="4"/>
      <c r="F121" s="4"/>
      <c r="G121" s="4"/>
      <c r="H121" s="4"/>
      <c r="I121" s="4"/>
      <c r="J121" s="4"/>
      <c r="K121" s="4"/>
      <c r="L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s="6" customFormat="1" ht="12.75">
      <c r="A122" s="16"/>
      <c r="C122" s="276"/>
      <c r="D122" s="276"/>
      <c r="E122" s="4"/>
      <c r="F122" s="4"/>
      <c r="G122" s="4"/>
      <c r="H122" s="4"/>
      <c r="I122" s="4"/>
      <c r="J122" s="4"/>
      <c r="K122" s="4"/>
      <c r="L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s="6" customFormat="1" ht="12.75">
      <c r="A123" s="16"/>
      <c r="C123" s="276"/>
      <c r="D123" s="276"/>
      <c r="E123" s="4"/>
      <c r="F123" s="4"/>
      <c r="G123" s="4"/>
      <c r="H123" s="4"/>
      <c r="I123" s="4"/>
      <c r="J123" s="4"/>
      <c r="K123" s="4"/>
      <c r="L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s="6" customFormat="1" ht="12.75">
      <c r="A124" s="16"/>
      <c r="C124" s="276"/>
      <c r="D124" s="276"/>
      <c r="E124" s="4"/>
      <c r="F124" s="4"/>
      <c r="G124" s="4"/>
      <c r="H124" s="4"/>
      <c r="I124" s="4"/>
      <c r="J124" s="4"/>
      <c r="K124" s="4"/>
      <c r="L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s="6" customFormat="1" ht="12.75">
      <c r="A125" s="16"/>
      <c r="C125" s="276"/>
      <c r="D125" s="276"/>
      <c r="E125" s="4"/>
      <c r="F125" s="4"/>
      <c r="G125" s="4"/>
      <c r="H125" s="4"/>
      <c r="I125" s="4"/>
      <c r="J125" s="4"/>
      <c r="K125" s="4"/>
      <c r="L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s="6" customFormat="1" ht="12.75">
      <c r="A126" s="16"/>
      <c r="C126" s="276"/>
      <c r="D126" s="276"/>
      <c r="E126" s="4"/>
      <c r="F126" s="4"/>
      <c r="G126" s="4"/>
      <c r="H126" s="4"/>
      <c r="I126" s="4"/>
      <c r="J126" s="4"/>
      <c r="K126" s="4"/>
      <c r="L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s="6" customFormat="1" ht="12.75">
      <c r="A127" s="16"/>
      <c r="C127" s="276"/>
      <c r="D127" s="276"/>
      <c r="E127" s="4"/>
      <c r="F127" s="4"/>
      <c r="G127" s="4"/>
      <c r="H127" s="4"/>
      <c r="I127" s="4"/>
      <c r="J127" s="4"/>
      <c r="K127" s="4"/>
      <c r="L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s="6" customFormat="1" ht="12.75">
      <c r="A128" s="16"/>
      <c r="C128" s="276"/>
      <c r="D128" s="276"/>
      <c r="E128" s="4"/>
      <c r="F128" s="4"/>
      <c r="G128" s="4"/>
      <c r="H128" s="4"/>
      <c r="I128" s="4"/>
      <c r="J128" s="4"/>
      <c r="K128" s="4"/>
      <c r="L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s="6" customFormat="1" ht="12.75">
      <c r="A129" s="16"/>
      <c r="C129" s="276"/>
      <c r="D129" s="276"/>
      <c r="E129" s="4"/>
      <c r="F129" s="4"/>
      <c r="G129" s="4"/>
      <c r="H129" s="4"/>
      <c r="I129" s="4"/>
      <c r="J129" s="4"/>
      <c r="K129" s="4"/>
      <c r="L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s="6" customFormat="1" ht="12.75">
      <c r="A130" s="16"/>
      <c r="C130" s="276"/>
      <c r="D130" s="276"/>
      <c r="E130" s="4"/>
      <c r="F130" s="4"/>
      <c r="G130" s="4"/>
      <c r="H130" s="4"/>
      <c r="I130" s="4"/>
      <c r="J130" s="4"/>
      <c r="K130" s="4"/>
      <c r="L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s="6" customFormat="1" ht="12.75">
      <c r="A131" s="16"/>
      <c r="C131" s="276"/>
      <c r="D131" s="276"/>
      <c r="E131" s="4"/>
      <c r="F131" s="4"/>
      <c r="G131" s="4"/>
      <c r="H131" s="4"/>
      <c r="I131" s="4"/>
      <c r="J131" s="4"/>
      <c r="K131" s="4"/>
      <c r="L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s="6" customFormat="1" ht="12.75">
      <c r="A132" s="16"/>
      <c r="C132" s="276"/>
      <c r="D132" s="276"/>
      <c r="E132" s="4"/>
      <c r="F132" s="4"/>
      <c r="G132" s="4"/>
      <c r="H132" s="4"/>
      <c r="I132" s="4"/>
      <c r="J132" s="4"/>
      <c r="K132" s="4"/>
      <c r="L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s="6" customFormat="1" ht="12.75">
      <c r="A133" s="16"/>
      <c r="C133" s="276"/>
      <c r="D133" s="276"/>
      <c r="E133" s="4"/>
      <c r="F133" s="4"/>
      <c r="G133" s="4"/>
      <c r="H133" s="4"/>
      <c r="I133" s="4"/>
      <c r="J133" s="4"/>
      <c r="K133" s="4"/>
      <c r="L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s="6" customFormat="1" ht="12.75">
      <c r="A134" s="16"/>
      <c r="C134" s="276"/>
      <c r="D134" s="276"/>
      <c r="E134" s="4"/>
      <c r="F134" s="4"/>
      <c r="G134" s="4"/>
      <c r="H134" s="4"/>
      <c r="I134" s="4"/>
      <c r="J134" s="4"/>
      <c r="K134" s="4"/>
      <c r="L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s="6" customFormat="1" ht="12.75">
      <c r="A135" s="16"/>
      <c r="C135" s="276"/>
      <c r="D135" s="276"/>
      <c r="E135" s="4"/>
      <c r="F135" s="4"/>
      <c r="G135" s="4"/>
      <c r="H135" s="4"/>
      <c r="I135" s="4"/>
      <c r="J135" s="4"/>
      <c r="K135" s="4"/>
      <c r="L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s="6" customFormat="1" ht="12.75">
      <c r="A136" s="16"/>
      <c r="C136" s="276"/>
      <c r="D136" s="276"/>
      <c r="E136" s="4"/>
      <c r="F136" s="4"/>
      <c r="G136" s="4"/>
      <c r="H136" s="4"/>
      <c r="I136" s="4"/>
      <c r="J136" s="4"/>
      <c r="K136" s="4"/>
      <c r="L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s="6" customFormat="1" ht="12.75">
      <c r="A137" s="16"/>
      <c r="C137" s="276"/>
      <c r="D137" s="276"/>
      <c r="E137" s="4"/>
      <c r="F137" s="4"/>
      <c r="G137" s="4"/>
      <c r="H137" s="4"/>
      <c r="I137" s="4"/>
      <c r="J137" s="4"/>
      <c r="K137" s="4"/>
      <c r="L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s="6" customFormat="1" ht="12.75">
      <c r="A138" s="16"/>
      <c r="C138" s="276"/>
      <c r="D138" s="276"/>
      <c r="E138" s="4"/>
      <c r="F138" s="4"/>
      <c r="G138" s="4"/>
      <c r="H138" s="4"/>
      <c r="I138" s="4"/>
      <c r="J138" s="4"/>
      <c r="K138" s="4"/>
      <c r="L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s="6" customFormat="1" ht="12.75">
      <c r="A139" s="16"/>
      <c r="C139" s="276"/>
      <c r="D139" s="276"/>
      <c r="E139" s="4"/>
      <c r="F139" s="4"/>
      <c r="G139" s="4"/>
      <c r="H139" s="4"/>
      <c r="I139" s="4"/>
      <c r="J139" s="4"/>
      <c r="K139" s="4"/>
      <c r="L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s="6" customFormat="1" ht="12.75">
      <c r="A140" s="16"/>
      <c r="C140" s="276"/>
      <c r="D140" s="276"/>
      <c r="E140" s="4"/>
      <c r="F140" s="4"/>
      <c r="G140" s="4"/>
      <c r="H140" s="4"/>
      <c r="I140" s="4"/>
      <c r="J140" s="4"/>
      <c r="K140" s="4"/>
      <c r="L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s="6" customFormat="1" ht="12.75">
      <c r="A141" s="16"/>
      <c r="C141" s="276"/>
      <c r="D141" s="276"/>
      <c r="E141" s="4"/>
      <c r="F141" s="4"/>
      <c r="G141" s="4"/>
      <c r="H141" s="4"/>
      <c r="I141" s="4"/>
      <c r="J141" s="4"/>
      <c r="K141" s="4"/>
      <c r="L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s="6" customFormat="1" ht="12.75">
      <c r="A142" s="16"/>
      <c r="C142" s="276"/>
      <c r="D142" s="276"/>
      <c r="E142" s="4"/>
      <c r="F142" s="4"/>
      <c r="G142" s="4"/>
      <c r="H142" s="4"/>
      <c r="I142" s="4"/>
      <c r="J142" s="4"/>
      <c r="K142" s="4"/>
      <c r="L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s="6" customFormat="1" ht="12.75">
      <c r="A143" s="16"/>
      <c r="C143" s="276"/>
      <c r="D143" s="276"/>
      <c r="E143" s="4"/>
      <c r="F143" s="4"/>
      <c r="G143" s="4"/>
      <c r="H143" s="4"/>
      <c r="I143" s="4"/>
      <c r="J143" s="4"/>
      <c r="K143" s="4"/>
      <c r="L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s="6" customFormat="1" ht="12.75">
      <c r="A144" s="16"/>
      <c r="C144" s="276"/>
      <c r="D144" s="276"/>
      <c r="E144" s="4"/>
      <c r="F144" s="4"/>
      <c r="G144" s="4"/>
      <c r="H144" s="4"/>
      <c r="I144" s="4"/>
      <c r="J144" s="4"/>
      <c r="K144" s="4"/>
      <c r="L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s="6" customFormat="1" ht="12.75">
      <c r="A145" s="16"/>
      <c r="C145" s="276"/>
      <c r="D145" s="276"/>
      <c r="E145" s="4"/>
      <c r="F145" s="4"/>
      <c r="G145" s="4"/>
      <c r="H145" s="4"/>
      <c r="I145" s="4"/>
      <c r="J145" s="4"/>
      <c r="K145" s="4"/>
      <c r="L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s="6" customFormat="1" ht="12.75">
      <c r="A146" s="16"/>
      <c r="C146" s="276"/>
      <c r="D146" s="276"/>
      <c r="E146" s="4"/>
      <c r="F146" s="4"/>
      <c r="G146" s="4"/>
      <c r="H146" s="4"/>
      <c r="I146" s="4"/>
      <c r="J146" s="4"/>
      <c r="K146" s="4"/>
      <c r="L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s="6" customFormat="1" ht="12.75">
      <c r="A147" s="16"/>
      <c r="C147" s="276"/>
      <c r="D147" s="276"/>
      <c r="E147" s="4"/>
      <c r="F147" s="4"/>
      <c r="G147" s="4"/>
      <c r="H147" s="4"/>
      <c r="I147" s="4"/>
      <c r="J147" s="4"/>
      <c r="K147" s="4"/>
      <c r="L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s="6" customFormat="1" ht="12.75">
      <c r="A148" s="16"/>
      <c r="C148" s="276"/>
      <c r="D148" s="276"/>
      <c r="E148" s="4"/>
      <c r="F148" s="4"/>
      <c r="G148" s="4"/>
      <c r="H148" s="4"/>
      <c r="I148" s="4"/>
      <c r="J148" s="4"/>
      <c r="K148" s="4"/>
      <c r="L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s="6" customFormat="1" ht="12.75">
      <c r="A149" s="16"/>
      <c r="C149" s="276"/>
      <c r="D149" s="276"/>
      <c r="E149" s="4"/>
      <c r="F149" s="4"/>
      <c r="G149" s="4"/>
      <c r="H149" s="4"/>
      <c r="I149" s="4"/>
      <c r="J149" s="4"/>
      <c r="K149" s="4"/>
      <c r="L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s="6" customFormat="1" ht="12.75">
      <c r="A150" s="16"/>
      <c r="C150" s="276"/>
      <c r="D150" s="276"/>
      <c r="E150" s="4"/>
      <c r="F150" s="4"/>
      <c r="G150" s="4"/>
      <c r="H150" s="4"/>
      <c r="I150" s="4"/>
      <c r="J150" s="4"/>
      <c r="K150" s="4"/>
      <c r="L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s="6" customFormat="1" ht="12.75">
      <c r="A151" s="16"/>
      <c r="C151" s="276"/>
      <c r="D151" s="276"/>
      <c r="E151" s="4"/>
      <c r="F151" s="4"/>
      <c r="G151" s="4"/>
      <c r="H151" s="4"/>
      <c r="I151" s="4"/>
      <c r="J151" s="4"/>
      <c r="K151" s="4"/>
      <c r="L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s="6" customFormat="1" ht="12.75">
      <c r="A152" s="16"/>
      <c r="C152" s="276"/>
      <c r="D152" s="276"/>
      <c r="E152" s="4"/>
      <c r="F152" s="4"/>
      <c r="G152" s="4"/>
      <c r="H152" s="4"/>
      <c r="I152" s="4"/>
      <c r="J152" s="4"/>
      <c r="K152" s="4"/>
      <c r="L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s="6" customFormat="1" ht="12.75">
      <c r="A153" s="16"/>
      <c r="C153" s="276"/>
      <c r="D153" s="276"/>
      <c r="E153" s="4"/>
      <c r="F153" s="4"/>
      <c r="G153" s="4"/>
      <c r="H153" s="4"/>
      <c r="I153" s="4"/>
      <c r="J153" s="4"/>
      <c r="K153" s="4"/>
      <c r="L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s="6" customFormat="1" ht="12.75">
      <c r="A154" s="16"/>
      <c r="C154" s="276"/>
      <c r="D154" s="276"/>
      <c r="E154" s="4"/>
      <c r="F154" s="4"/>
      <c r="G154" s="4"/>
      <c r="H154" s="4"/>
      <c r="I154" s="4"/>
      <c r="J154" s="4"/>
      <c r="K154" s="4"/>
      <c r="L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s="6" customFormat="1" ht="12.75">
      <c r="A155" s="16"/>
      <c r="C155" s="276"/>
      <c r="D155" s="276"/>
      <c r="E155" s="4"/>
      <c r="F155" s="4"/>
      <c r="G155" s="4"/>
      <c r="H155" s="4"/>
      <c r="I155" s="4"/>
      <c r="J155" s="4"/>
      <c r="K155" s="4"/>
      <c r="L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s="6" customFormat="1" ht="12.75">
      <c r="A156" s="16"/>
      <c r="C156" s="276"/>
      <c r="D156" s="276"/>
      <c r="E156" s="4"/>
      <c r="F156" s="4"/>
      <c r="G156" s="4"/>
      <c r="H156" s="4"/>
      <c r="I156" s="4"/>
      <c r="J156" s="4"/>
      <c r="K156" s="4"/>
      <c r="L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s="6" customFormat="1" ht="12.75">
      <c r="A157" s="16"/>
      <c r="C157" s="276"/>
      <c r="D157" s="276"/>
      <c r="E157" s="4"/>
      <c r="F157" s="4"/>
      <c r="G157" s="4"/>
      <c r="H157" s="4"/>
      <c r="I157" s="4"/>
      <c r="J157" s="4"/>
      <c r="K157" s="4"/>
      <c r="L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s="6" customFormat="1" ht="12.75">
      <c r="A158" s="16"/>
      <c r="C158" s="276"/>
      <c r="D158" s="276"/>
      <c r="E158" s="4"/>
      <c r="F158" s="4"/>
      <c r="G158" s="4"/>
      <c r="H158" s="4"/>
      <c r="I158" s="4"/>
      <c r="J158" s="4"/>
      <c r="K158" s="4"/>
      <c r="L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s="6" customFormat="1" ht="12.75">
      <c r="A159" s="16"/>
      <c r="C159" s="276"/>
      <c r="D159" s="276"/>
      <c r="E159" s="4"/>
      <c r="F159" s="4"/>
      <c r="G159" s="4"/>
      <c r="H159" s="4"/>
      <c r="I159" s="4"/>
      <c r="J159" s="4"/>
      <c r="K159" s="4"/>
      <c r="L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s="6" customFormat="1" ht="12.75">
      <c r="A160" s="16"/>
      <c r="C160" s="276"/>
      <c r="D160" s="276"/>
      <c r="E160" s="4"/>
      <c r="F160" s="4"/>
      <c r="G160" s="4"/>
      <c r="H160" s="4"/>
      <c r="I160" s="4"/>
      <c r="J160" s="4"/>
      <c r="K160" s="4"/>
      <c r="L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s="6" customFormat="1" ht="12.75">
      <c r="A161" s="16"/>
      <c r="C161" s="276"/>
      <c r="D161" s="276"/>
      <c r="E161" s="4"/>
      <c r="F161" s="4"/>
      <c r="G161" s="4"/>
      <c r="H161" s="4"/>
      <c r="I161" s="4"/>
      <c r="J161" s="4"/>
      <c r="K161" s="4"/>
      <c r="L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s="6" customFormat="1" ht="12.75">
      <c r="A162" s="16"/>
      <c r="C162" s="276"/>
      <c r="D162" s="276"/>
      <c r="E162" s="4"/>
      <c r="F162" s="4"/>
      <c r="G162" s="4"/>
      <c r="H162" s="4"/>
      <c r="I162" s="4"/>
      <c r="J162" s="4"/>
      <c r="K162" s="4"/>
      <c r="L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s="6" customFormat="1" ht="12.75">
      <c r="A163" s="16"/>
      <c r="C163" s="276"/>
      <c r="D163" s="276"/>
      <c r="E163" s="4"/>
      <c r="F163" s="4"/>
      <c r="G163" s="4"/>
      <c r="H163" s="4"/>
      <c r="I163" s="4"/>
      <c r="J163" s="4"/>
      <c r="K163" s="4"/>
      <c r="L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s="6" customFormat="1" ht="12.75">
      <c r="A164" s="16"/>
      <c r="C164" s="276"/>
      <c r="D164" s="276"/>
      <c r="E164" s="4"/>
      <c r="F164" s="4"/>
      <c r="G164" s="4"/>
      <c r="H164" s="4"/>
      <c r="I164" s="4"/>
      <c r="J164" s="4"/>
      <c r="K164" s="4"/>
      <c r="L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s="6" customFormat="1" ht="12.75">
      <c r="A165" s="16"/>
      <c r="C165" s="276"/>
      <c r="D165" s="276"/>
      <c r="E165" s="4"/>
      <c r="F165" s="4"/>
      <c r="G165" s="4"/>
      <c r="H165" s="4"/>
      <c r="I165" s="4"/>
      <c r="J165" s="4"/>
      <c r="K165" s="4"/>
      <c r="L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s="6" customFormat="1" ht="12.75">
      <c r="A166" s="16"/>
      <c r="C166" s="276"/>
      <c r="D166" s="276"/>
      <c r="E166" s="4"/>
      <c r="F166" s="4"/>
      <c r="G166" s="4"/>
      <c r="H166" s="4"/>
      <c r="I166" s="4"/>
      <c r="J166" s="4"/>
      <c r="K166" s="4"/>
      <c r="L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s="6" customFormat="1" ht="12.75">
      <c r="A167" s="16"/>
      <c r="C167" s="276"/>
      <c r="D167" s="276"/>
      <c r="E167" s="4"/>
      <c r="F167" s="4"/>
      <c r="G167" s="4"/>
      <c r="H167" s="4"/>
      <c r="I167" s="4"/>
      <c r="J167" s="4"/>
      <c r="K167" s="4"/>
      <c r="L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s="6" customFormat="1" ht="12.75">
      <c r="A168" s="16"/>
      <c r="C168" s="276"/>
      <c r="D168" s="276"/>
      <c r="E168" s="4"/>
      <c r="F168" s="4"/>
      <c r="G168" s="4"/>
      <c r="H168" s="4"/>
      <c r="I168" s="4"/>
      <c r="J168" s="4"/>
      <c r="K168" s="4"/>
      <c r="L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s="6" customFormat="1" ht="12.75">
      <c r="A169" s="16"/>
      <c r="C169" s="276"/>
      <c r="D169" s="276"/>
      <c r="E169" s="4"/>
      <c r="F169" s="4"/>
      <c r="G169" s="4"/>
      <c r="H169" s="4"/>
      <c r="I169" s="4"/>
      <c r="J169" s="4"/>
      <c r="K169" s="4"/>
      <c r="L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s="6" customFormat="1" ht="12.75">
      <c r="A170" s="16"/>
      <c r="C170" s="276"/>
      <c r="D170" s="276"/>
      <c r="E170" s="4"/>
      <c r="F170" s="4"/>
      <c r="G170" s="4"/>
      <c r="H170" s="4"/>
      <c r="I170" s="4"/>
      <c r="J170" s="4"/>
      <c r="K170" s="4"/>
      <c r="L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s="6" customFormat="1" ht="12.75">
      <c r="A171" s="16"/>
      <c r="C171" s="276"/>
      <c r="D171" s="276"/>
      <c r="E171" s="4"/>
      <c r="F171" s="4"/>
      <c r="G171" s="4"/>
      <c r="H171" s="4"/>
      <c r="I171" s="4"/>
      <c r="J171" s="4"/>
      <c r="K171" s="4"/>
      <c r="L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s="6" customFormat="1" ht="12.75">
      <c r="A172" s="16"/>
      <c r="C172" s="276"/>
      <c r="D172" s="276"/>
      <c r="E172" s="4"/>
      <c r="F172" s="4"/>
      <c r="G172" s="4"/>
      <c r="H172" s="4"/>
      <c r="I172" s="4"/>
      <c r="J172" s="4"/>
      <c r="K172" s="4"/>
      <c r="L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s="6" customFormat="1" ht="12.75">
      <c r="A173" s="16"/>
      <c r="C173" s="276"/>
      <c r="D173" s="276"/>
      <c r="E173" s="4"/>
      <c r="F173" s="4"/>
      <c r="G173" s="4"/>
      <c r="H173" s="4"/>
      <c r="I173" s="4"/>
      <c r="J173" s="4"/>
      <c r="K173" s="4"/>
      <c r="L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s="6" customFormat="1" ht="12.75">
      <c r="A174" s="16"/>
      <c r="C174" s="276"/>
      <c r="D174" s="276"/>
      <c r="E174" s="4"/>
      <c r="F174" s="4"/>
      <c r="G174" s="4"/>
      <c r="H174" s="4"/>
      <c r="I174" s="4"/>
      <c r="J174" s="4"/>
      <c r="K174" s="4"/>
      <c r="L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s="6" customFormat="1" ht="12.75">
      <c r="A175" s="16"/>
      <c r="C175" s="276"/>
      <c r="D175" s="276"/>
      <c r="E175" s="4"/>
      <c r="F175" s="4"/>
      <c r="G175" s="4"/>
      <c r="H175" s="4"/>
      <c r="I175" s="4"/>
      <c r="J175" s="4"/>
      <c r="K175" s="4"/>
      <c r="L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s="6" customFormat="1" ht="12.75">
      <c r="A176" s="16"/>
      <c r="C176" s="276"/>
      <c r="D176" s="276"/>
      <c r="E176" s="4"/>
      <c r="F176" s="4"/>
      <c r="G176" s="4"/>
      <c r="H176" s="4"/>
      <c r="I176" s="4"/>
      <c r="J176" s="4"/>
      <c r="K176" s="4"/>
      <c r="L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s="6" customFormat="1" ht="12.75">
      <c r="A177" s="16"/>
      <c r="C177" s="276"/>
      <c r="D177" s="276"/>
      <c r="E177" s="4"/>
      <c r="F177" s="4"/>
      <c r="G177" s="4"/>
      <c r="H177" s="4"/>
      <c r="I177" s="4"/>
      <c r="J177" s="4"/>
      <c r="K177" s="4"/>
      <c r="L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s="6" customFormat="1" ht="12.75">
      <c r="A178" s="16"/>
      <c r="C178" s="276"/>
      <c r="D178" s="276"/>
      <c r="E178" s="4"/>
      <c r="F178" s="4"/>
      <c r="G178" s="4"/>
      <c r="H178" s="4"/>
      <c r="I178" s="4"/>
      <c r="J178" s="4"/>
      <c r="K178" s="4"/>
      <c r="L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s="6" customFormat="1" ht="12.75">
      <c r="A179" s="16"/>
      <c r="C179" s="276"/>
      <c r="D179" s="276"/>
      <c r="E179" s="4"/>
      <c r="F179" s="4"/>
      <c r="G179" s="4"/>
      <c r="H179" s="4"/>
      <c r="I179" s="4"/>
      <c r="J179" s="4"/>
      <c r="K179" s="4"/>
      <c r="L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s="6" customFormat="1" ht="12.75">
      <c r="A180" s="16"/>
      <c r="C180" s="276"/>
      <c r="D180" s="276"/>
      <c r="E180" s="4"/>
      <c r="F180" s="4"/>
      <c r="G180" s="4"/>
      <c r="H180" s="4"/>
      <c r="I180" s="4"/>
      <c r="J180" s="4"/>
      <c r="K180" s="4"/>
      <c r="L180" s="4"/>
      <c r="N180" s="4"/>
      <c r="O180" s="4"/>
      <c r="P180" s="4"/>
      <c r="Q180" s="4"/>
      <c r="R180" s="4"/>
      <c r="S180" s="4"/>
      <c r="T180" s="4"/>
      <c r="U180" s="4"/>
      <c r="V180" s="4"/>
    </row>
  </sheetData>
  <sheetProtection/>
  <mergeCells count="7">
    <mergeCell ref="Q2:R2"/>
    <mergeCell ref="U2:V2"/>
    <mergeCell ref="M2:N2"/>
    <mergeCell ref="A2:B3"/>
    <mergeCell ref="K2:L2"/>
    <mergeCell ref="E2:F2"/>
    <mergeCell ref="S2:T2"/>
  </mergeCells>
  <printOptions horizontalCentered="1"/>
  <pageMargins left="0" right="0.7874015748031497" top="1.1811023622047245" bottom="1.1811023622047245" header="0" footer="0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V111"/>
  <sheetViews>
    <sheetView showGridLines="0" zoomScalePageLayoutView="0" workbookViewId="0" topLeftCell="A1">
      <pane xSplit="2" ySplit="3" topLeftCell="C97" activePane="bottomRight" state="frozen"/>
      <selection pane="topLeft" activeCell="D4" sqref="D4"/>
      <selection pane="topRight" activeCell="D4" sqref="D4"/>
      <selection pane="bottomLeft" activeCell="D4" sqref="D4"/>
      <selection pane="bottomRight" activeCell="R4" sqref="R4"/>
    </sheetView>
  </sheetViews>
  <sheetFormatPr defaultColWidth="9.140625" defaultRowHeight="12.75"/>
  <cols>
    <col min="1" max="1" width="7.7109375" style="12" customWidth="1"/>
    <col min="2" max="2" width="70.7109375" style="3" customWidth="1"/>
    <col min="3" max="4" width="10.7109375" style="292" hidden="1" customWidth="1"/>
    <col min="5" max="6" width="10.7109375" style="4" customWidth="1"/>
    <col min="7" max="16" width="10.7109375" style="4" hidden="1" customWidth="1"/>
    <col min="17" max="22" width="10.7109375" style="4" customWidth="1"/>
    <col min="23" max="16384" width="9.140625" style="3" customWidth="1"/>
  </cols>
  <sheetData>
    <row r="1" ht="20.25" hidden="1" thickBot="1">
      <c r="A1" s="237" t="s">
        <v>1122</v>
      </c>
    </row>
    <row r="2" spans="1:22" s="30" customFormat="1" ht="39.75" customHeight="1" thickTop="1">
      <c r="A2" s="2952"/>
      <c r="B2" s="2953"/>
      <c r="C2" s="360" t="s">
        <v>506</v>
      </c>
      <c r="D2" s="2112" t="s">
        <v>507</v>
      </c>
      <c r="E2" s="2890" t="s">
        <v>184</v>
      </c>
      <c r="F2" s="2891"/>
      <c r="G2" s="570" t="s">
        <v>510</v>
      </c>
      <c r="H2" s="473" t="s">
        <v>510</v>
      </c>
      <c r="I2" s="474" t="s">
        <v>87</v>
      </c>
      <c r="J2" s="474" t="s">
        <v>87</v>
      </c>
      <c r="K2" s="2871" t="s">
        <v>509</v>
      </c>
      <c r="L2" s="2871"/>
      <c r="M2" s="2871" t="s">
        <v>508</v>
      </c>
      <c r="N2" s="2871"/>
      <c r="O2" s="475" t="s">
        <v>952</v>
      </c>
      <c r="P2" s="767" t="s">
        <v>952</v>
      </c>
      <c r="Q2" s="2859" t="s">
        <v>183</v>
      </c>
      <c r="R2" s="2860"/>
      <c r="S2" s="2865" t="s">
        <v>725</v>
      </c>
      <c r="T2" s="2863"/>
      <c r="U2" s="2863" t="s">
        <v>726</v>
      </c>
      <c r="V2" s="2864"/>
    </row>
    <row r="3" spans="1:22" s="24" customFormat="1" ht="15" customHeight="1" thickBot="1">
      <c r="A3" s="2954"/>
      <c r="B3" s="2955"/>
      <c r="C3" s="347" t="s">
        <v>966</v>
      </c>
      <c r="D3" s="2304" t="s">
        <v>966</v>
      </c>
      <c r="E3" s="768" t="s">
        <v>435</v>
      </c>
      <c r="F3" s="307" t="s">
        <v>966</v>
      </c>
      <c r="G3" s="461" t="s">
        <v>435</v>
      </c>
      <c r="H3" s="346" t="s">
        <v>966</v>
      </c>
      <c r="I3" s="450" t="s">
        <v>435</v>
      </c>
      <c r="J3" s="450" t="s">
        <v>966</v>
      </c>
      <c r="K3" s="239" t="s">
        <v>435</v>
      </c>
      <c r="L3" s="239" t="s">
        <v>966</v>
      </c>
      <c r="M3" s="239" t="s">
        <v>435</v>
      </c>
      <c r="N3" s="239" t="s">
        <v>966</v>
      </c>
      <c r="O3" s="451" t="s">
        <v>435</v>
      </c>
      <c r="P3" s="765" t="s">
        <v>966</v>
      </c>
      <c r="Q3" s="238" t="s">
        <v>435</v>
      </c>
      <c r="R3" s="993" t="s">
        <v>966</v>
      </c>
      <c r="S3" s="2117" t="s">
        <v>435</v>
      </c>
      <c r="T3" s="239" t="s">
        <v>966</v>
      </c>
      <c r="U3" s="239" t="s">
        <v>435</v>
      </c>
      <c r="V3" s="307" t="s">
        <v>966</v>
      </c>
    </row>
    <row r="4" spans="1:22" s="23" customFormat="1" ht="19.5" customHeight="1">
      <c r="A4" s="182" t="s">
        <v>355</v>
      </c>
      <c r="B4" s="830" t="s">
        <v>148</v>
      </c>
      <c r="C4" s="799">
        <f aca="true" t="shared" si="0" ref="C4:V4">C5+C44</f>
        <v>65456</v>
      </c>
      <c r="D4" s="1520">
        <f t="shared" si="0"/>
        <v>54886</v>
      </c>
      <c r="E4" s="850">
        <f t="shared" si="0"/>
        <v>679173</v>
      </c>
      <c r="F4" s="665">
        <f t="shared" si="0"/>
        <v>20460.765798</v>
      </c>
      <c r="G4" s="530">
        <f t="shared" si="0"/>
        <v>834263</v>
      </c>
      <c r="H4" s="107">
        <f t="shared" si="0"/>
        <v>25133.007138</v>
      </c>
      <c r="I4" s="109">
        <f t="shared" si="0"/>
        <v>684823</v>
      </c>
      <c r="J4" s="109">
        <f t="shared" si="0"/>
        <v>20630.977698000002</v>
      </c>
      <c r="K4" s="109">
        <f t="shared" si="0"/>
        <v>1009965</v>
      </c>
      <c r="L4" s="109">
        <f t="shared" si="0"/>
        <v>30426.205589999998</v>
      </c>
      <c r="M4" s="109">
        <f t="shared" si="0"/>
        <v>826550</v>
      </c>
      <c r="N4" s="109">
        <f t="shared" si="0"/>
        <v>24900.645300000004</v>
      </c>
      <c r="O4" s="109">
        <f t="shared" si="0"/>
        <v>684823</v>
      </c>
      <c r="P4" s="454">
        <f t="shared" si="0"/>
        <v>20630.977698000002</v>
      </c>
      <c r="Q4" s="107">
        <f t="shared" si="0"/>
        <v>522916</v>
      </c>
      <c r="R4" s="108">
        <f t="shared" si="0"/>
        <v>15753.367416000001</v>
      </c>
      <c r="S4" s="778">
        <f t="shared" si="0"/>
        <v>541526</v>
      </c>
      <c r="T4" s="109">
        <f t="shared" si="0"/>
        <v>16314.012276000001</v>
      </c>
      <c r="U4" s="109">
        <f t="shared" si="0"/>
        <v>541526</v>
      </c>
      <c r="V4" s="665">
        <f t="shared" si="0"/>
        <v>16314.012276000001</v>
      </c>
    </row>
    <row r="5" spans="1:22" s="30" customFormat="1" ht="19.5" customHeight="1">
      <c r="A5" s="183" t="s">
        <v>149</v>
      </c>
      <c r="B5" s="831" t="s">
        <v>164</v>
      </c>
      <c r="C5" s="800">
        <f>C6</f>
        <v>9626</v>
      </c>
      <c r="D5" s="1521">
        <f>D6</f>
        <v>13883</v>
      </c>
      <c r="E5" s="769">
        <f>E6</f>
        <v>299317</v>
      </c>
      <c r="F5" s="479">
        <f>F6</f>
        <v>9017.223942</v>
      </c>
      <c r="G5" s="463">
        <f aca="true" t="shared" si="1" ref="G5:V5">G6</f>
        <v>260343</v>
      </c>
      <c r="H5" s="447">
        <f t="shared" si="1"/>
        <v>7843.093218000001</v>
      </c>
      <c r="I5" s="28">
        <f t="shared" si="1"/>
        <v>251903</v>
      </c>
      <c r="J5" s="28">
        <f t="shared" si="1"/>
        <v>7588.829778000001</v>
      </c>
      <c r="K5" s="28">
        <f t="shared" si="1"/>
        <v>298913</v>
      </c>
      <c r="L5" s="28">
        <f t="shared" si="1"/>
        <v>9005.053037999998</v>
      </c>
      <c r="M5" s="28">
        <f t="shared" si="1"/>
        <v>280658</v>
      </c>
      <c r="N5" s="28">
        <f t="shared" si="1"/>
        <v>8455.102908</v>
      </c>
      <c r="O5" s="28">
        <f t="shared" si="1"/>
        <v>251903</v>
      </c>
      <c r="P5" s="455">
        <f t="shared" si="1"/>
        <v>7588.829778000001</v>
      </c>
      <c r="Q5" s="19">
        <f t="shared" si="1"/>
        <v>248562</v>
      </c>
      <c r="R5" s="17">
        <f t="shared" si="1"/>
        <v>7488.178812000001</v>
      </c>
      <c r="S5" s="779">
        <f t="shared" si="1"/>
        <v>267172</v>
      </c>
      <c r="T5" s="28">
        <f t="shared" si="1"/>
        <v>8048.823672</v>
      </c>
      <c r="U5" s="28">
        <f t="shared" si="1"/>
        <v>267172</v>
      </c>
      <c r="V5" s="479">
        <f t="shared" si="1"/>
        <v>8048.823672</v>
      </c>
    </row>
    <row r="6" spans="1:22" s="30" customFormat="1" ht="19.5" customHeight="1">
      <c r="A6" s="137" t="s">
        <v>150</v>
      </c>
      <c r="B6" s="832" t="s">
        <v>965</v>
      </c>
      <c r="C6" s="801">
        <f aca="true" t="shared" si="2" ref="C6:R6">C7+C34</f>
        <v>9626</v>
      </c>
      <c r="D6" s="1522">
        <f t="shared" si="2"/>
        <v>13883</v>
      </c>
      <c r="E6" s="770">
        <f t="shared" si="2"/>
        <v>299317</v>
      </c>
      <c r="F6" s="480">
        <f t="shared" si="2"/>
        <v>9017.223942</v>
      </c>
      <c r="G6" s="464">
        <f t="shared" si="2"/>
        <v>260343</v>
      </c>
      <c r="H6" s="20">
        <f t="shared" si="2"/>
        <v>7843.093218000001</v>
      </c>
      <c r="I6" s="29">
        <f t="shared" si="2"/>
        <v>251903</v>
      </c>
      <c r="J6" s="29">
        <f t="shared" si="2"/>
        <v>7588.829778000001</v>
      </c>
      <c r="K6" s="29">
        <f t="shared" si="2"/>
        <v>298913</v>
      </c>
      <c r="L6" s="29">
        <f t="shared" si="2"/>
        <v>9005.053037999998</v>
      </c>
      <c r="M6" s="29">
        <f t="shared" si="2"/>
        <v>280658</v>
      </c>
      <c r="N6" s="29">
        <f t="shared" si="2"/>
        <v>8455.102908</v>
      </c>
      <c r="O6" s="29">
        <f t="shared" si="2"/>
        <v>251903</v>
      </c>
      <c r="P6" s="456">
        <f t="shared" si="2"/>
        <v>7588.829778000001</v>
      </c>
      <c r="Q6" s="20">
        <f t="shared" si="2"/>
        <v>248562</v>
      </c>
      <c r="R6" s="18">
        <f t="shared" si="2"/>
        <v>7488.178812000001</v>
      </c>
      <c r="S6" s="780">
        <v>267172</v>
      </c>
      <c r="T6" s="29">
        <f>S6*30.126/1000</f>
        <v>8048.823672</v>
      </c>
      <c r="U6" s="29">
        <v>267172</v>
      </c>
      <c r="V6" s="480">
        <f>U6*30.126/1000</f>
        <v>8048.823672</v>
      </c>
    </row>
    <row r="7" spans="1:22" s="6" customFormat="1" ht="15" customHeight="1">
      <c r="A7" s="184" t="s">
        <v>169</v>
      </c>
      <c r="B7" s="857" t="s">
        <v>245</v>
      </c>
      <c r="C7" s="852">
        <f aca="true" t="shared" si="3" ref="C7:R7">SUM(C8:C33)</f>
        <v>8160</v>
      </c>
      <c r="D7" s="1767">
        <f t="shared" si="3"/>
        <v>12055</v>
      </c>
      <c r="E7" s="2533">
        <f t="shared" si="3"/>
        <v>227286</v>
      </c>
      <c r="F7" s="668">
        <f t="shared" si="3"/>
        <v>6847.218036000001</v>
      </c>
      <c r="G7" s="678">
        <f t="shared" si="3"/>
        <v>192793</v>
      </c>
      <c r="H7" s="672">
        <f t="shared" si="3"/>
        <v>5808.081918000001</v>
      </c>
      <c r="I7" s="328">
        <f t="shared" si="3"/>
        <v>185183</v>
      </c>
      <c r="J7" s="328">
        <f t="shared" si="3"/>
        <v>5578.823058000001</v>
      </c>
      <c r="K7" s="328">
        <f t="shared" si="3"/>
        <v>232358</v>
      </c>
      <c r="L7" s="328">
        <f t="shared" si="3"/>
        <v>7000.017107999999</v>
      </c>
      <c r="M7" s="328">
        <f t="shared" si="3"/>
        <v>209456</v>
      </c>
      <c r="N7" s="328">
        <f t="shared" si="3"/>
        <v>6310.071456</v>
      </c>
      <c r="O7" s="328">
        <f t="shared" si="3"/>
        <v>185183</v>
      </c>
      <c r="P7" s="1767">
        <f t="shared" si="3"/>
        <v>5578.823058000001</v>
      </c>
      <c r="Q7" s="1300">
        <f t="shared" si="3"/>
        <v>181842</v>
      </c>
      <c r="R7" s="329">
        <f t="shared" si="3"/>
        <v>5478.172092000001</v>
      </c>
      <c r="S7" s="852"/>
      <c r="T7" s="328"/>
      <c r="U7" s="328"/>
      <c r="V7" s="668"/>
    </row>
    <row r="8" spans="1:22" s="6" customFormat="1" ht="15" customHeight="1">
      <c r="A8" s="194"/>
      <c r="B8" s="834" t="s">
        <v>246</v>
      </c>
      <c r="C8" s="803">
        <v>566</v>
      </c>
      <c r="D8" s="1524">
        <v>811</v>
      </c>
      <c r="E8" s="772">
        <v>13278</v>
      </c>
      <c r="F8" s="139">
        <f aca="true" t="shared" si="4" ref="F8:F13">(E8*30.126)/1000</f>
        <v>400.01302799999996</v>
      </c>
      <c r="G8" s="446">
        <v>13278</v>
      </c>
      <c r="H8" s="470">
        <f>G8*30.126/1000</f>
        <v>400.01302799999996</v>
      </c>
      <c r="I8" s="9">
        <v>13278</v>
      </c>
      <c r="J8" s="9">
        <f>I8*30.126/1000</f>
        <v>400.01302799999996</v>
      </c>
      <c r="K8" s="9">
        <v>14937</v>
      </c>
      <c r="L8" s="9">
        <f>K8*30.126/1000</f>
        <v>449.99206200000003</v>
      </c>
      <c r="M8" s="9">
        <v>16597</v>
      </c>
      <c r="N8" s="9">
        <f>M8*30.126/1000</f>
        <v>500.001222</v>
      </c>
      <c r="O8" s="9">
        <v>13278</v>
      </c>
      <c r="P8" s="382">
        <f>O8*30.126/1000</f>
        <v>400.01302799999996</v>
      </c>
      <c r="Q8" s="35">
        <v>13278</v>
      </c>
      <c r="R8" s="8">
        <f>Q8*30.126/1000</f>
        <v>400.01302799999996</v>
      </c>
      <c r="S8" s="782"/>
      <c r="T8" s="9"/>
      <c r="U8" s="9"/>
      <c r="V8" s="139"/>
    </row>
    <row r="9" spans="1:22" s="6" customFormat="1" ht="15" customHeight="1">
      <c r="A9" s="140"/>
      <c r="B9" s="834" t="s">
        <v>247</v>
      </c>
      <c r="C9" s="803">
        <v>200</v>
      </c>
      <c r="D9" s="1524">
        <v>250</v>
      </c>
      <c r="E9" s="2534">
        <v>6971</v>
      </c>
      <c r="F9" s="139">
        <f t="shared" si="4"/>
        <v>210.00834600000002</v>
      </c>
      <c r="G9" s="679"/>
      <c r="H9" s="470"/>
      <c r="I9" s="79"/>
      <c r="J9" s="9"/>
      <c r="K9" s="79"/>
      <c r="L9" s="9"/>
      <c r="M9" s="79"/>
      <c r="N9" s="9"/>
      <c r="O9" s="79"/>
      <c r="P9" s="382"/>
      <c r="Q9" s="1301"/>
      <c r="R9" s="8"/>
      <c r="S9" s="2549"/>
      <c r="T9" s="9"/>
      <c r="U9" s="79"/>
      <c r="V9" s="139"/>
    </row>
    <row r="10" spans="1:22" s="6" customFormat="1" ht="15" customHeight="1">
      <c r="A10" s="140"/>
      <c r="B10" s="834" t="s">
        <v>248</v>
      </c>
      <c r="C10" s="803">
        <v>25</v>
      </c>
      <c r="D10" s="1524">
        <v>25</v>
      </c>
      <c r="E10" s="2534">
        <v>830</v>
      </c>
      <c r="F10" s="139">
        <f t="shared" si="4"/>
        <v>25.00458</v>
      </c>
      <c r="G10" s="679"/>
      <c r="H10" s="470"/>
      <c r="I10" s="79"/>
      <c r="J10" s="9"/>
      <c r="K10" s="79"/>
      <c r="L10" s="9"/>
      <c r="M10" s="79"/>
      <c r="N10" s="9"/>
      <c r="O10" s="79"/>
      <c r="P10" s="382"/>
      <c r="Q10" s="1301"/>
      <c r="R10" s="8"/>
      <c r="S10" s="2549"/>
      <c r="T10" s="9"/>
      <c r="U10" s="79"/>
      <c r="V10" s="139"/>
    </row>
    <row r="11" spans="1:22" s="6" customFormat="1" ht="15" customHeight="1">
      <c r="A11" s="140"/>
      <c r="B11" s="834" t="s">
        <v>249</v>
      </c>
      <c r="C11" s="803">
        <v>350</v>
      </c>
      <c r="D11" s="1524">
        <v>410</v>
      </c>
      <c r="E11" s="2534">
        <v>9958</v>
      </c>
      <c r="F11" s="139">
        <f t="shared" si="4"/>
        <v>299.994708</v>
      </c>
      <c r="G11" s="679">
        <v>9958</v>
      </c>
      <c r="H11" s="470">
        <f>G11*30.126/1000</f>
        <v>299.994708</v>
      </c>
      <c r="I11" s="79">
        <v>9958</v>
      </c>
      <c r="J11" s="9">
        <f aca="true" t="shared" si="5" ref="J11:J21">I11*30.126/1000</f>
        <v>299.994708</v>
      </c>
      <c r="K11" s="79">
        <v>11618</v>
      </c>
      <c r="L11" s="9">
        <f aca="true" t="shared" si="6" ref="L11:N12">K11*30.126/1000</f>
        <v>350.003868</v>
      </c>
      <c r="M11" s="79">
        <v>13278</v>
      </c>
      <c r="N11" s="9">
        <f t="shared" si="6"/>
        <v>400.01302799999996</v>
      </c>
      <c r="O11" s="79">
        <v>9958</v>
      </c>
      <c r="P11" s="382">
        <f>O11*30.126/1000</f>
        <v>299.994708</v>
      </c>
      <c r="Q11" s="1301">
        <v>9958</v>
      </c>
      <c r="R11" s="8">
        <f>Q11*30.126/1000</f>
        <v>299.994708</v>
      </c>
      <c r="S11" s="2549"/>
      <c r="T11" s="9"/>
      <c r="U11" s="79"/>
      <c r="V11" s="139"/>
    </row>
    <row r="12" spans="1:22" s="6" customFormat="1" ht="15" customHeight="1">
      <c r="A12" s="140"/>
      <c r="B12" s="834" t="s">
        <v>250</v>
      </c>
      <c r="C12" s="803">
        <v>546</v>
      </c>
      <c r="D12" s="1524">
        <v>699</v>
      </c>
      <c r="E12" s="2534">
        <v>13911</v>
      </c>
      <c r="F12" s="139">
        <f t="shared" si="4"/>
        <v>419.082786</v>
      </c>
      <c r="G12" s="679">
        <v>16531</v>
      </c>
      <c r="H12" s="470">
        <f>G12*30.126/1000</f>
        <v>498.01290600000004</v>
      </c>
      <c r="I12" s="79">
        <v>13908</v>
      </c>
      <c r="J12" s="9">
        <f t="shared" si="5"/>
        <v>418.992408</v>
      </c>
      <c r="K12" s="79">
        <v>17261</v>
      </c>
      <c r="L12" s="9">
        <f t="shared" si="6"/>
        <v>520.0048859999999</v>
      </c>
      <c r="M12" s="79">
        <v>17593</v>
      </c>
      <c r="N12" s="9">
        <f t="shared" si="6"/>
        <v>530.006718</v>
      </c>
      <c r="O12" s="79">
        <v>13908</v>
      </c>
      <c r="P12" s="382">
        <f>O12*30.126/1000</f>
        <v>418.992408</v>
      </c>
      <c r="Q12" s="1301">
        <v>13908</v>
      </c>
      <c r="R12" s="8">
        <f>Q12*30.126/1000</f>
        <v>418.992408</v>
      </c>
      <c r="S12" s="2549"/>
      <c r="T12" s="9"/>
      <c r="U12" s="79"/>
      <c r="V12" s="139"/>
    </row>
    <row r="13" spans="1:22" s="6" customFormat="1" ht="15" customHeight="1">
      <c r="A13" s="140"/>
      <c r="B13" s="834" t="s">
        <v>251</v>
      </c>
      <c r="C13" s="803"/>
      <c r="D13" s="1524"/>
      <c r="E13" s="2534">
        <v>16451</v>
      </c>
      <c r="F13" s="139">
        <f t="shared" si="4"/>
        <v>495.602826</v>
      </c>
      <c r="G13" s="679"/>
      <c r="H13" s="673"/>
      <c r="I13" s="79"/>
      <c r="J13" s="9"/>
      <c r="K13" s="79">
        <v>16597</v>
      </c>
      <c r="L13" s="79">
        <f>K13*30.126/1000</f>
        <v>500.001222</v>
      </c>
      <c r="M13" s="79"/>
      <c r="N13" s="79"/>
      <c r="O13" s="79"/>
      <c r="P13" s="382"/>
      <c r="Q13" s="1301">
        <v>15269</v>
      </c>
      <c r="R13" s="8">
        <f>Q13*30.126/1000</f>
        <v>459.993894</v>
      </c>
      <c r="S13" s="2549"/>
      <c r="T13" s="9"/>
      <c r="U13" s="79"/>
      <c r="V13" s="139"/>
    </row>
    <row r="14" spans="1:22" s="6" customFormat="1" ht="15" customHeight="1">
      <c r="A14" s="196"/>
      <c r="B14" s="834" t="s">
        <v>254</v>
      </c>
      <c r="C14" s="803">
        <v>193</v>
      </c>
      <c r="D14" s="1524">
        <v>99</v>
      </c>
      <c r="E14" s="2534">
        <v>3983</v>
      </c>
      <c r="F14" s="195">
        <f aca="true" t="shared" si="7" ref="F14:F33">(E14*30.126)/1000</f>
        <v>119.99185800000001</v>
      </c>
      <c r="G14" s="679">
        <v>6639</v>
      </c>
      <c r="H14" s="673">
        <f>G14*30.126/1000</f>
        <v>200.00651399999998</v>
      </c>
      <c r="I14" s="79">
        <v>3983</v>
      </c>
      <c r="J14" s="9">
        <f t="shared" si="5"/>
        <v>119.99185800000001</v>
      </c>
      <c r="K14" s="79">
        <v>6639</v>
      </c>
      <c r="L14" s="79">
        <f>K14*30.126/1000</f>
        <v>200.00651399999998</v>
      </c>
      <c r="M14" s="79">
        <v>6639</v>
      </c>
      <c r="N14" s="79">
        <f>M14*30.126/1000</f>
        <v>200.00651399999998</v>
      </c>
      <c r="O14" s="79">
        <v>3983</v>
      </c>
      <c r="P14" s="382">
        <f aca="true" t="shared" si="8" ref="P14:R21">O14*30.126/1000</f>
        <v>119.99185800000001</v>
      </c>
      <c r="Q14" s="1301">
        <v>3983</v>
      </c>
      <c r="R14" s="8">
        <f t="shared" si="8"/>
        <v>119.99185800000001</v>
      </c>
      <c r="S14" s="2549"/>
      <c r="T14" s="9"/>
      <c r="U14" s="79"/>
      <c r="V14" s="139"/>
    </row>
    <row r="15" spans="1:22" s="6" customFormat="1" ht="15" customHeight="1" hidden="1">
      <c r="A15" s="196"/>
      <c r="B15" s="834" t="s">
        <v>255</v>
      </c>
      <c r="C15" s="803"/>
      <c r="D15" s="1524">
        <v>295</v>
      </c>
      <c r="E15" s="2534"/>
      <c r="F15" s="195"/>
      <c r="G15" s="679"/>
      <c r="H15" s="673"/>
      <c r="I15" s="79"/>
      <c r="J15" s="9">
        <f t="shared" si="5"/>
        <v>0</v>
      </c>
      <c r="K15" s="79"/>
      <c r="L15" s="79"/>
      <c r="M15" s="79"/>
      <c r="N15" s="79"/>
      <c r="O15" s="79"/>
      <c r="P15" s="382">
        <f t="shared" si="8"/>
        <v>0</v>
      </c>
      <c r="Q15" s="1301"/>
      <c r="R15" s="8">
        <f t="shared" si="8"/>
        <v>0</v>
      </c>
      <c r="S15" s="2549"/>
      <c r="T15" s="9"/>
      <c r="U15" s="79"/>
      <c r="V15" s="139"/>
    </row>
    <row r="16" spans="1:22" s="6" customFormat="1" ht="15" customHeight="1">
      <c r="A16" s="196"/>
      <c r="B16" s="834" t="s">
        <v>256</v>
      </c>
      <c r="C16" s="803">
        <v>447</v>
      </c>
      <c r="D16" s="1524">
        <v>431</v>
      </c>
      <c r="E16" s="2534">
        <v>11618</v>
      </c>
      <c r="F16" s="195">
        <f t="shared" si="7"/>
        <v>350.003868</v>
      </c>
      <c r="G16" s="679">
        <v>12614</v>
      </c>
      <c r="H16" s="673">
        <f aca="true" t="shared" si="9" ref="H16:H21">G16*30.126/1000</f>
        <v>380.009364</v>
      </c>
      <c r="I16" s="79">
        <v>11610</v>
      </c>
      <c r="J16" s="9">
        <f t="shared" si="5"/>
        <v>349.76286</v>
      </c>
      <c r="K16" s="79">
        <v>12614</v>
      </c>
      <c r="L16" s="79">
        <f aca="true" t="shared" si="10" ref="L16:L23">K16*30.126/1000</f>
        <v>380.009364</v>
      </c>
      <c r="M16" s="79">
        <v>12614</v>
      </c>
      <c r="N16" s="79">
        <f aca="true" t="shared" si="11" ref="N16:N21">M16*30.126/1000</f>
        <v>380.009364</v>
      </c>
      <c r="O16" s="79">
        <v>11610</v>
      </c>
      <c r="P16" s="382">
        <f t="shared" si="8"/>
        <v>349.76286</v>
      </c>
      <c r="Q16" s="1301">
        <v>11610</v>
      </c>
      <c r="R16" s="8">
        <f t="shared" si="8"/>
        <v>349.76286</v>
      </c>
      <c r="S16" s="2549"/>
      <c r="T16" s="9"/>
      <c r="U16" s="79"/>
      <c r="V16" s="139"/>
    </row>
    <row r="17" spans="1:22" s="6" customFormat="1" ht="15" customHeight="1">
      <c r="A17" s="196"/>
      <c r="B17" s="834" t="s">
        <v>257</v>
      </c>
      <c r="C17" s="803">
        <v>242</v>
      </c>
      <c r="D17" s="1524">
        <v>165</v>
      </c>
      <c r="E17" s="2534">
        <v>25558</v>
      </c>
      <c r="F17" s="195">
        <f t="shared" si="7"/>
        <v>769.960308</v>
      </c>
      <c r="G17" s="679">
        <v>13278</v>
      </c>
      <c r="H17" s="673">
        <f t="shared" si="9"/>
        <v>400.01302799999996</v>
      </c>
      <c r="I17" s="79">
        <v>13278</v>
      </c>
      <c r="J17" s="9">
        <f t="shared" si="5"/>
        <v>400.01302799999996</v>
      </c>
      <c r="K17" s="79">
        <v>14937</v>
      </c>
      <c r="L17" s="79">
        <f t="shared" si="10"/>
        <v>449.99206200000003</v>
      </c>
      <c r="M17" s="79">
        <v>16597</v>
      </c>
      <c r="N17" s="79">
        <f t="shared" si="11"/>
        <v>500.001222</v>
      </c>
      <c r="O17" s="79">
        <v>13278</v>
      </c>
      <c r="P17" s="382">
        <f t="shared" si="8"/>
        <v>400.01302799999996</v>
      </c>
      <c r="Q17" s="1301">
        <v>13278</v>
      </c>
      <c r="R17" s="8">
        <f t="shared" si="8"/>
        <v>400.01302799999996</v>
      </c>
      <c r="S17" s="2549"/>
      <c r="T17" s="9"/>
      <c r="U17" s="79"/>
      <c r="V17" s="139"/>
    </row>
    <row r="18" spans="1:22" s="6" customFormat="1" ht="15" customHeight="1">
      <c r="A18" s="140"/>
      <c r="B18" s="834" t="s">
        <v>258</v>
      </c>
      <c r="C18" s="803">
        <v>150</v>
      </c>
      <c r="D18" s="1524">
        <v>250</v>
      </c>
      <c r="E18" s="2534">
        <v>3319</v>
      </c>
      <c r="F18" s="195">
        <f t="shared" si="7"/>
        <v>99.98819400000001</v>
      </c>
      <c r="G18" s="679">
        <v>3319</v>
      </c>
      <c r="H18" s="673">
        <f t="shared" si="9"/>
        <v>99.98819400000001</v>
      </c>
      <c r="I18" s="79">
        <v>3319</v>
      </c>
      <c r="J18" s="9">
        <f t="shared" si="5"/>
        <v>99.98819400000001</v>
      </c>
      <c r="K18" s="79">
        <v>3319</v>
      </c>
      <c r="L18" s="79">
        <f t="shared" si="10"/>
        <v>99.98819400000001</v>
      </c>
      <c r="M18" s="79">
        <v>4979</v>
      </c>
      <c r="N18" s="79">
        <f t="shared" si="11"/>
        <v>149.997354</v>
      </c>
      <c r="O18" s="79">
        <v>3319</v>
      </c>
      <c r="P18" s="382">
        <f t="shared" si="8"/>
        <v>99.98819400000001</v>
      </c>
      <c r="Q18" s="1301">
        <v>3319</v>
      </c>
      <c r="R18" s="8">
        <f t="shared" si="8"/>
        <v>99.98819400000001</v>
      </c>
      <c r="S18" s="2549"/>
      <c r="T18" s="9"/>
      <c r="U18" s="79"/>
      <c r="V18" s="139"/>
    </row>
    <row r="19" spans="1:22" s="6" customFormat="1" ht="15" customHeight="1">
      <c r="A19" s="196"/>
      <c r="B19" s="834" t="s">
        <v>259</v>
      </c>
      <c r="C19" s="803">
        <v>1171</v>
      </c>
      <c r="D19" s="1524">
        <v>882</v>
      </c>
      <c r="E19" s="2534"/>
      <c r="F19" s="195"/>
      <c r="G19" s="679">
        <v>23236</v>
      </c>
      <c r="H19" s="673">
        <f t="shared" si="9"/>
        <v>700.007736</v>
      </c>
      <c r="I19" s="79">
        <v>23236</v>
      </c>
      <c r="J19" s="9">
        <f t="shared" si="5"/>
        <v>700.007736</v>
      </c>
      <c r="K19" s="79"/>
      <c r="L19" s="79"/>
      <c r="M19" s="79">
        <v>23236</v>
      </c>
      <c r="N19" s="79">
        <f t="shared" si="11"/>
        <v>700.007736</v>
      </c>
      <c r="O19" s="79">
        <v>23236</v>
      </c>
      <c r="P19" s="382">
        <f t="shared" si="8"/>
        <v>700.007736</v>
      </c>
      <c r="Q19" s="1301">
        <v>23236</v>
      </c>
      <c r="R19" s="8">
        <f t="shared" si="8"/>
        <v>700.007736</v>
      </c>
      <c r="S19" s="2549"/>
      <c r="T19" s="9"/>
      <c r="U19" s="79"/>
      <c r="V19" s="139"/>
    </row>
    <row r="20" spans="1:22" s="6" customFormat="1" ht="15" customHeight="1">
      <c r="A20" s="196"/>
      <c r="B20" s="834" t="s">
        <v>137</v>
      </c>
      <c r="C20" s="803">
        <v>28</v>
      </c>
      <c r="D20" s="1524">
        <v>30</v>
      </c>
      <c r="E20" s="2534">
        <v>1660</v>
      </c>
      <c r="F20" s="195">
        <f t="shared" si="7"/>
        <v>50.00916</v>
      </c>
      <c r="G20" s="679">
        <v>1660</v>
      </c>
      <c r="H20" s="673">
        <f t="shared" si="9"/>
        <v>50.00916</v>
      </c>
      <c r="I20" s="79">
        <v>1660</v>
      </c>
      <c r="J20" s="9">
        <f t="shared" si="5"/>
        <v>50.00916</v>
      </c>
      <c r="K20" s="79">
        <v>1660</v>
      </c>
      <c r="L20" s="79">
        <f t="shared" si="10"/>
        <v>50.00916</v>
      </c>
      <c r="M20" s="79">
        <v>1660</v>
      </c>
      <c r="N20" s="79">
        <f t="shared" si="11"/>
        <v>50.00916</v>
      </c>
      <c r="O20" s="79">
        <v>1660</v>
      </c>
      <c r="P20" s="382">
        <f t="shared" si="8"/>
        <v>50.00916</v>
      </c>
      <c r="Q20" s="1301">
        <v>1660</v>
      </c>
      <c r="R20" s="8">
        <f t="shared" si="8"/>
        <v>50.00916</v>
      </c>
      <c r="S20" s="2549"/>
      <c r="T20" s="9"/>
      <c r="U20" s="79"/>
      <c r="V20" s="139"/>
    </row>
    <row r="21" spans="1:22" s="6" customFormat="1" ht="15" customHeight="1">
      <c r="A21" s="140"/>
      <c r="B21" s="834" t="s">
        <v>260</v>
      </c>
      <c r="C21" s="803">
        <v>25</v>
      </c>
      <c r="D21" s="1524">
        <v>106</v>
      </c>
      <c r="E21" s="2534">
        <v>3319</v>
      </c>
      <c r="F21" s="195">
        <f t="shared" si="7"/>
        <v>99.98819400000001</v>
      </c>
      <c r="G21" s="679">
        <v>3319</v>
      </c>
      <c r="H21" s="673">
        <f t="shared" si="9"/>
        <v>99.98819400000001</v>
      </c>
      <c r="I21" s="79">
        <v>3319</v>
      </c>
      <c r="J21" s="9">
        <f t="shared" si="5"/>
        <v>99.98819400000001</v>
      </c>
      <c r="K21" s="79">
        <v>4979</v>
      </c>
      <c r="L21" s="79">
        <f t="shared" si="10"/>
        <v>149.997354</v>
      </c>
      <c r="M21" s="79">
        <v>4979</v>
      </c>
      <c r="N21" s="79">
        <f t="shared" si="11"/>
        <v>149.997354</v>
      </c>
      <c r="O21" s="79">
        <v>3319</v>
      </c>
      <c r="P21" s="382">
        <f t="shared" si="8"/>
        <v>99.98819400000001</v>
      </c>
      <c r="Q21" s="1301">
        <v>3319</v>
      </c>
      <c r="R21" s="8">
        <f t="shared" si="8"/>
        <v>99.98819400000001</v>
      </c>
      <c r="S21" s="2549"/>
      <c r="T21" s="9"/>
      <c r="U21" s="79"/>
      <c r="V21" s="139"/>
    </row>
    <row r="22" spans="1:22" s="6" customFormat="1" ht="15" customHeight="1">
      <c r="A22" s="140"/>
      <c r="B22" s="834" t="s">
        <v>263</v>
      </c>
      <c r="C22" s="803">
        <v>610</v>
      </c>
      <c r="D22" s="1524">
        <v>643</v>
      </c>
      <c r="E22" s="2534">
        <v>12819</v>
      </c>
      <c r="F22" s="195">
        <f t="shared" si="7"/>
        <v>386.185194</v>
      </c>
      <c r="G22" s="679"/>
      <c r="H22" s="673"/>
      <c r="I22" s="79"/>
      <c r="J22" s="79"/>
      <c r="K22" s="79">
        <v>19916</v>
      </c>
      <c r="L22" s="79">
        <f t="shared" si="10"/>
        <v>599.989416</v>
      </c>
      <c r="M22" s="79"/>
      <c r="N22" s="79"/>
      <c r="O22" s="79"/>
      <c r="P22" s="1763"/>
      <c r="Q22" s="1301"/>
      <c r="R22" s="1302"/>
      <c r="S22" s="2549"/>
      <c r="T22" s="79"/>
      <c r="U22" s="79"/>
      <c r="V22" s="195"/>
    </row>
    <row r="23" spans="1:22" s="6" customFormat="1" ht="15" customHeight="1">
      <c r="A23" s="140"/>
      <c r="B23" s="834" t="s">
        <v>264</v>
      </c>
      <c r="C23" s="803"/>
      <c r="D23" s="1524"/>
      <c r="E23" s="2534">
        <v>9769</v>
      </c>
      <c r="F23" s="195">
        <f t="shared" si="7"/>
        <v>294.300894</v>
      </c>
      <c r="G23" s="679"/>
      <c r="H23" s="673"/>
      <c r="I23" s="79"/>
      <c r="J23" s="79"/>
      <c r="K23" s="79">
        <v>13278</v>
      </c>
      <c r="L23" s="79">
        <f t="shared" si="10"/>
        <v>400.01302799999996</v>
      </c>
      <c r="M23" s="79"/>
      <c r="N23" s="79"/>
      <c r="O23" s="79"/>
      <c r="P23" s="1763"/>
      <c r="Q23" s="1301"/>
      <c r="R23" s="1302"/>
      <c r="S23" s="2549"/>
      <c r="T23" s="79"/>
      <c r="U23" s="79"/>
      <c r="V23" s="195"/>
    </row>
    <row r="24" spans="1:22" s="6" customFormat="1" ht="15" customHeight="1">
      <c r="A24" s="140"/>
      <c r="B24" s="834" t="s">
        <v>265</v>
      </c>
      <c r="C24" s="803">
        <v>534</v>
      </c>
      <c r="D24" s="1524">
        <v>576</v>
      </c>
      <c r="E24" s="2534">
        <v>20138</v>
      </c>
      <c r="F24" s="195">
        <f t="shared" si="7"/>
        <v>606.6773880000001</v>
      </c>
      <c r="G24" s="679">
        <v>16597</v>
      </c>
      <c r="H24" s="673">
        <f>G24*30.126/1000</f>
        <v>500.001222</v>
      </c>
      <c r="I24" s="79">
        <v>15270</v>
      </c>
      <c r="J24" s="79">
        <f>I24*30.126/1000</f>
        <v>460.02402</v>
      </c>
      <c r="K24" s="79"/>
      <c r="L24" s="79"/>
      <c r="M24" s="79">
        <v>16597</v>
      </c>
      <c r="N24" s="79">
        <f>M24*30.126/1000</f>
        <v>500.001222</v>
      </c>
      <c r="O24" s="79">
        <v>15270</v>
      </c>
      <c r="P24" s="1763">
        <f>O24*30.126/1000</f>
        <v>460.02402</v>
      </c>
      <c r="Q24" s="1301"/>
      <c r="R24" s="1302"/>
      <c r="S24" s="2549"/>
      <c r="T24" s="79"/>
      <c r="U24" s="79"/>
      <c r="V24" s="195"/>
    </row>
    <row r="25" spans="1:22" s="6" customFormat="1" ht="15" customHeight="1">
      <c r="A25" s="140"/>
      <c r="B25" s="834" t="s">
        <v>266</v>
      </c>
      <c r="C25" s="803"/>
      <c r="D25" s="1524">
        <v>150</v>
      </c>
      <c r="E25" s="2535">
        <v>11298</v>
      </c>
      <c r="F25" s="195">
        <f t="shared" si="7"/>
        <v>340.36354800000004</v>
      </c>
      <c r="G25" s="680">
        <v>9958</v>
      </c>
      <c r="H25" s="673">
        <f aca="true" t="shared" si="12" ref="H25:H33">G25*30.126/1000</f>
        <v>299.994708</v>
      </c>
      <c r="I25" s="81">
        <v>9958</v>
      </c>
      <c r="J25" s="79">
        <f aca="true" t="shared" si="13" ref="J25:J33">I25*30.126/1000</f>
        <v>299.994708</v>
      </c>
      <c r="K25" s="81">
        <v>11618</v>
      </c>
      <c r="L25" s="79">
        <f aca="true" t="shared" si="14" ref="L25:L33">K25*30.126/1000</f>
        <v>350.003868</v>
      </c>
      <c r="M25" s="81">
        <v>13278</v>
      </c>
      <c r="N25" s="79">
        <f aca="true" t="shared" si="15" ref="N25:N33">M25*30.126/1000</f>
        <v>400.01302799999996</v>
      </c>
      <c r="O25" s="81">
        <v>9958</v>
      </c>
      <c r="P25" s="1763">
        <f aca="true" t="shared" si="16" ref="P25:R33">O25*30.126/1000</f>
        <v>299.994708</v>
      </c>
      <c r="Q25" s="1303">
        <v>9958</v>
      </c>
      <c r="R25" s="1302">
        <f t="shared" si="16"/>
        <v>299.994708</v>
      </c>
      <c r="S25" s="889"/>
      <c r="T25" s="79"/>
      <c r="U25" s="81"/>
      <c r="V25" s="195"/>
    </row>
    <row r="26" spans="1:22" s="6" customFormat="1" ht="15" customHeight="1">
      <c r="A26" s="140"/>
      <c r="B26" s="834" t="s">
        <v>138</v>
      </c>
      <c r="C26" s="803">
        <v>670</v>
      </c>
      <c r="D26" s="1524">
        <v>749</v>
      </c>
      <c r="E26" s="2535">
        <v>1660</v>
      </c>
      <c r="F26" s="195">
        <f t="shared" si="7"/>
        <v>50.00916</v>
      </c>
      <c r="G26" s="680">
        <v>1660</v>
      </c>
      <c r="H26" s="673">
        <f t="shared" si="12"/>
        <v>50.00916</v>
      </c>
      <c r="I26" s="81">
        <v>1660</v>
      </c>
      <c r="J26" s="79">
        <f t="shared" si="13"/>
        <v>50.00916</v>
      </c>
      <c r="K26" s="81">
        <v>23236</v>
      </c>
      <c r="L26" s="79">
        <f t="shared" si="14"/>
        <v>700.007736</v>
      </c>
      <c r="M26" s="81">
        <v>1660</v>
      </c>
      <c r="N26" s="79">
        <f t="shared" si="15"/>
        <v>50.00916</v>
      </c>
      <c r="O26" s="81">
        <v>1660</v>
      </c>
      <c r="P26" s="1763">
        <f t="shared" si="16"/>
        <v>50.00916</v>
      </c>
      <c r="Q26" s="1303">
        <v>1660</v>
      </c>
      <c r="R26" s="1302">
        <f t="shared" si="16"/>
        <v>50.00916</v>
      </c>
      <c r="S26" s="889"/>
      <c r="T26" s="79"/>
      <c r="U26" s="81"/>
      <c r="V26" s="195"/>
    </row>
    <row r="27" spans="1:22" s="6" customFormat="1" ht="15" customHeight="1">
      <c r="A27" s="140"/>
      <c r="B27" s="834" t="s">
        <v>267</v>
      </c>
      <c r="C27" s="803">
        <v>212</v>
      </c>
      <c r="D27" s="1524">
        <v>47</v>
      </c>
      <c r="E27" s="2535">
        <v>1660</v>
      </c>
      <c r="F27" s="195">
        <f t="shared" si="7"/>
        <v>50.00916</v>
      </c>
      <c r="G27" s="680">
        <v>1660</v>
      </c>
      <c r="H27" s="673">
        <f t="shared" si="12"/>
        <v>50.00916</v>
      </c>
      <c r="I27" s="81">
        <v>1660</v>
      </c>
      <c r="J27" s="79">
        <f t="shared" si="13"/>
        <v>50.00916</v>
      </c>
      <c r="K27" s="81"/>
      <c r="L27" s="79">
        <f t="shared" si="14"/>
        <v>0</v>
      </c>
      <c r="M27" s="81"/>
      <c r="N27" s="79">
        <f t="shared" si="15"/>
        <v>0</v>
      </c>
      <c r="O27" s="81">
        <v>1660</v>
      </c>
      <c r="P27" s="1763">
        <f t="shared" si="16"/>
        <v>50.00916</v>
      </c>
      <c r="Q27" s="1303">
        <v>1660</v>
      </c>
      <c r="R27" s="1302">
        <f t="shared" si="16"/>
        <v>50.00916</v>
      </c>
      <c r="S27" s="889"/>
      <c r="T27" s="79"/>
      <c r="U27" s="81"/>
      <c r="V27" s="195"/>
    </row>
    <row r="28" spans="1:22" s="6" customFormat="1" ht="15" customHeight="1" hidden="1">
      <c r="A28" s="140"/>
      <c r="B28" s="834" t="s">
        <v>268</v>
      </c>
      <c r="C28" s="803"/>
      <c r="D28" s="1524">
        <v>237</v>
      </c>
      <c r="E28" s="2535"/>
      <c r="F28" s="195"/>
      <c r="G28" s="680"/>
      <c r="H28" s="673"/>
      <c r="I28" s="81"/>
      <c r="J28" s="79">
        <f t="shared" si="13"/>
        <v>0</v>
      </c>
      <c r="K28" s="81"/>
      <c r="L28" s="79"/>
      <c r="M28" s="81"/>
      <c r="N28" s="79"/>
      <c r="O28" s="81"/>
      <c r="P28" s="1763">
        <f t="shared" si="16"/>
        <v>0</v>
      </c>
      <c r="Q28" s="1303"/>
      <c r="R28" s="1302">
        <f t="shared" si="16"/>
        <v>0</v>
      </c>
      <c r="S28" s="889"/>
      <c r="T28" s="79"/>
      <c r="U28" s="81"/>
      <c r="V28" s="195"/>
    </row>
    <row r="29" spans="1:22" s="6" customFormat="1" ht="15" customHeight="1" hidden="1">
      <c r="A29" s="140"/>
      <c r="B29" s="834" t="s">
        <v>269</v>
      </c>
      <c r="C29" s="803"/>
      <c r="D29" s="1524">
        <v>2390</v>
      </c>
      <c r="E29" s="2535"/>
      <c r="F29" s="195"/>
      <c r="G29" s="446"/>
      <c r="H29" s="673"/>
      <c r="I29" s="81"/>
      <c r="J29" s="79">
        <f t="shared" si="13"/>
        <v>0</v>
      </c>
      <c r="K29" s="9"/>
      <c r="L29" s="79"/>
      <c r="M29" s="81"/>
      <c r="N29" s="79"/>
      <c r="O29" s="81"/>
      <c r="P29" s="1763">
        <f t="shared" si="16"/>
        <v>0</v>
      </c>
      <c r="Q29" s="1303"/>
      <c r="R29" s="1302">
        <f t="shared" si="16"/>
        <v>0</v>
      </c>
      <c r="S29" s="889"/>
      <c r="T29" s="79"/>
      <c r="U29" s="81"/>
      <c r="V29" s="195"/>
    </row>
    <row r="30" spans="1:22" s="6" customFormat="1" ht="15" customHeight="1" hidden="1">
      <c r="A30" s="140"/>
      <c r="B30" s="834" t="s">
        <v>540</v>
      </c>
      <c r="C30" s="803">
        <v>551</v>
      </c>
      <c r="D30" s="1524">
        <v>921</v>
      </c>
      <c r="E30" s="2535"/>
      <c r="F30" s="195"/>
      <c r="G30" s="446"/>
      <c r="H30" s="673"/>
      <c r="I30" s="81"/>
      <c r="J30" s="79">
        <f t="shared" si="13"/>
        <v>0</v>
      </c>
      <c r="K30" s="9"/>
      <c r="L30" s="79"/>
      <c r="M30" s="81"/>
      <c r="N30" s="79"/>
      <c r="O30" s="81"/>
      <c r="P30" s="1763">
        <f t="shared" si="16"/>
        <v>0</v>
      </c>
      <c r="Q30" s="1303"/>
      <c r="R30" s="1302">
        <f t="shared" si="16"/>
        <v>0</v>
      </c>
      <c r="S30" s="889"/>
      <c r="T30" s="79"/>
      <c r="U30" s="81"/>
      <c r="V30" s="195"/>
    </row>
    <row r="31" spans="1:22" s="6" customFormat="1" ht="15" customHeight="1">
      <c r="A31" s="140"/>
      <c r="B31" s="834" t="s">
        <v>261</v>
      </c>
      <c r="C31" s="803">
        <v>1562</v>
      </c>
      <c r="D31" s="1524">
        <v>1789</v>
      </c>
      <c r="E31" s="2534">
        <v>56430</v>
      </c>
      <c r="F31" s="195">
        <f t="shared" si="7"/>
        <v>1700.0101800000002</v>
      </c>
      <c r="G31" s="679">
        <v>56430</v>
      </c>
      <c r="H31" s="673">
        <f t="shared" si="12"/>
        <v>1700.0101800000002</v>
      </c>
      <c r="I31" s="79">
        <v>56430</v>
      </c>
      <c r="J31" s="79">
        <f t="shared" si="13"/>
        <v>1700.0101800000002</v>
      </c>
      <c r="K31" s="79">
        <v>56430</v>
      </c>
      <c r="L31" s="79">
        <f t="shared" si="14"/>
        <v>1700.0101800000002</v>
      </c>
      <c r="M31" s="79">
        <v>56430</v>
      </c>
      <c r="N31" s="79">
        <f t="shared" si="15"/>
        <v>1700.0101800000002</v>
      </c>
      <c r="O31" s="79">
        <v>56430</v>
      </c>
      <c r="P31" s="1763">
        <f t="shared" si="16"/>
        <v>1700.0101800000002</v>
      </c>
      <c r="Q31" s="1301">
        <v>49790</v>
      </c>
      <c r="R31" s="1302">
        <f t="shared" si="16"/>
        <v>1499.97354</v>
      </c>
      <c r="S31" s="2549"/>
      <c r="T31" s="79"/>
      <c r="U31" s="79"/>
      <c r="V31" s="195"/>
    </row>
    <row r="32" spans="1:22" s="6" customFormat="1" ht="15" customHeight="1">
      <c r="A32" s="197"/>
      <c r="B32" s="834" t="s">
        <v>103</v>
      </c>
      <c r="C32" s="803"/>
      <c r="D32" s="1524"/>
      <c r="E32" s="2534"/>
      <c r="F32" s="195"/>
      <c r="G32" s="679"/>
      <c r="H32" s="673"/>
      <c r="I32" s="79"/>
      <c r="J32" s="79"/>
      <c r="K32" s="79"/>
      <c r="L32" s="79"/>
      <c r="M32" s="79"/>
      <c r="N32" s="79"/>
      <c r="O32" s="79"/>
      <c r="P32" s="1763"/>
      <c r="Q32" s="1301">
        <v>3300</v>
      </c>
      <c r="R32" s="1302">
        <f>Q32*30.126/1000</f>
        <v>99.4158</v>
      </c>
      <c r="S32" s="2549"/>
      <c r="T32" s="79"/>
      <c r="U32" s="79"/>
      <c r="V32" s="195"/>
    </row>
    <row r="33" spans="1:22" s="6" customFormat="1" ht="15" customHeight="1">
      <c r="A33" s="197"/>
      <c r="B33" s="834" t="s">
        <v>262</v>
      </c>
      <c r="C33" s="803">
        <v>78</v>
      </c>
      <c r="D33" s="1524">
        <v>100</v>
      </c>
      <c r="E33" s="2534">
        <v>2656</v>
      </c>
      <c r="F33" s="195">
        <f t="shared" si="7"/>
        <v>80.014656</v>
      </c>
      <c r="G33" s="679">
        <v>2656</v>
      </c>
      <c r="H33" s="673">
        <f t="shared" si="12"/>
        <v>80.014656</v>
      </c>
      <c r="I33" s="79">
        <v>2656</v>
      </c>
      <c r="J33" s="79">
        <f t="shared" si="13"/>
        <v>80.014656</v>
      </c>
      <c r="K33" s="79">
        <v>3319</v>
      </c>
      <c r="L33" s="79">
        <f t="shared" si="14"/>
        <v>99.98819400000001</v>
      </c>
      <c r="M33" s="79">
        <v>3319</v>
      </c>
      <c r="N33" s="79">
        <f t="shared" si="15"/>
        <v>99.98819400000001</v>
      </c>
      <c r="O33" s="79">
        <v>2656</v>
      </c>
      <c r="P33" s="1763">
        <f t="shared" si="16"/>
        <v>80.014656</v>
      </c>
      <c r="Q33" s="1301">
        <v>2656</v>
      </c>
      <c r="R33" s="1302">
        <f t="shared" si="16"/>
        <v>80.014656</v>
      </c>
      <c r="S33" s="2549"/>
      <c r="T33" s="79"/>
      <c r="U33" s="79"/>
      <c r="V33" s="195"/>
    </row>
    <row r="34" spans="1:22" s="6" customFormat="1" ht="15" customHeight="1">
      <c r="A34" s="187" t="s">
        <v>170</v>
      </c>
      <c r="B34" s="858" t="s">
        <v>538</v>
      </c>
      <c r="C34" s="853">
        <v>1466</v>
      </c>
      <c r="D34" s="2526">
        <f>SUM(D35:D43)</f>
        <v>1828</v>
      </c>
      <c r="E34" s="2534">
        <f>SUM(E35:E43)</f>
        <v>72031</v>
      </c>
      <c r="F34" s="195">
        <f>SUM(F35:F43)</f>
        <v>2170.0059060000003</v>
      </c>
      <c r="G34" s="679">
        <f aca="true" t="shared" si="17" ref="G34:N34">SUM(G35:G43)</f>
        <v>67550</v>
      </c>
      <c r="H34" s="673">
        <f t="shared" si="17"/>
        <v>2035.0113000000003</v>
      </c>
      <c r="I34" s="79">
        <f t="shared" si="17"/>
        <v>66720</v>
      </c>
      <c r="J34" s="79">
        <f t="shared" si="17"/>
        <v>2010.0067200000003</v>
      </c>
      <c r="K34" s="79">
        <f t="shared" si="17"/>
        <v>66555</v>
      </c>
      <c r="L34" s="79">
        <f t="shared" si="17"/>
        <v>2005.03593</v>
      </c>
      <c r="M34" s="79">
        <f t="shared" si="17"/>
        <v>71202</v>
      </c>
      <c r="N34" s="79">
        <f t="shared" si="17"/>
        <v>2145.031452</v>
      </c>
      <c r="O34" s="79">
        <f>SUM(O35:O43)</f>
        <v>66720</v>
      </c>
      <c r="P34" s="1763">
        <f>SUM(P35:P43)</f>
        <v>2010.0067200000003</v>
      </c>
      <c r="Q34" s="1301">
        <f>SUM(Q35:Q43)</f>
        <v>66720</v>
      </c>
      <c r="R34" s="1302">
        <f>SUM(R35:R43)</f>
        <v>2010.0067200000003</v>
      </c>
      <c r="S34" s="2549"/>
      <c r="T34" s="79"/>
      <c r="U34" s="79"/>
      <c r="V34" s="195"/>
    </row>
    <row r="35" spans="1:22" s="6" customFormat="1" ht="15" customHeight="1">
      <c r="A35" s="198"/>
      <c r="B35" s="834" t="s">
        <v>331</v>
      </c>
      <c r="C35" s="803"/>
      <c r="D35" s="1524">
        <v>418</v>
      </c>
      <c r="E35" s="2534">
        <v>13941</v>
      </c>
      <c r="F35" s="195">
        <f>(E35*30.126)/1000</f>
        <v>419.986566</v>
      </c>
      <c r="G35" s="532">
        <v>13941</v>
      </c>
      <c r="H35" s="666">
        <f>G35*30.126/1000</f>
        <v>419.986566</v>
      </c>
      <c r="I35" s="79">
        <v>13941</v>
      </c>
      <c r="J35" s="44">
        <f>I35*30.126/1000</f>
        <v>419.986566</v>
      </c>
      <c r="K35" s="44">
        <v>14273</v>
      </c>
      <c r="L35" s="44">
        <f>K35*30.126/1000</f>
        <v>429.988398</v>
      </c>
      <c r="M35" s="79">
        <v>14605</v>
      </c>
      <c r="N35" s="44">
        <f>M35*30.126/1000</f>
        <v>439.99023000000005</v>
      </c>
      <c r="O35" s="79">
        <v>13941</v>
      </c>
      <c r="P35" s="1758">
        <f>O35*30.126/1000</f>
        <v>419.986566</v>
      </c>
      <c r="Q35" s="1301">
        <v>13941</v>
      </c>
      <c r="R35" s="55">
        <f>Q35*30.126/1000</f>
        <v>419.986566</v>
      </c>
      <c r="S35" s="2549"/>
      <c r="T35" s="44"/>
      <c r="U35" s="79"/>
      <c r="V35" s="191"/>
    </row>
    <row r="36" spans="1:22" s="6" customFormat="1" ht="15" customHeight="1">
      <c r="A36" s="192"/>
      <c r="B36" s="834" t="s">
        <v>332</v>
      </c>
      <c r="C36" s="803"/>
      <c r="D36" s="1524">
        <v>850</v>
      </c>
      <c r="E36" s="2534">
        <v>29875</v>
      </c>
      <c r="F36" s="195">
        <f>(E36*30.126)/1000</f>
        <v>900.01425</v>
      </c>
      <c r="G36" s="617">
        <v>29875</v>
      </c>
      <c r="H36" s="666">
        <f aca="true" t="shared" si="18" ref="H36:H42">G36*30.126/1000</f>
        <v>900.01425</v>
      </c>
      <c r="I36" s="79">
        <v>29875</v>
      </c>
      <c r="J36" s="44">
        <f aca="true" t="shared" si="19" ref="J36:J42">I36*30.126/1000</f>
        <v>900.01425</v>
      </c>
      <c r="K36" s="78">
        <v>29875</v>
      </c>
      <c r="L36" s="44">
        <f aca="true" t="shared" si="20" ref="L36:L42">K36*30.126/1000</f>
        <v>900.01425</v>
      </c>
      <c r="M36" s="79">
        <v>29875</v>
      </c>
      <c r="N36" s="44">
        <f aca="true" t="shared" si="21" ref="N36:N42">M36*30.126/1000</f>
        <v>900.01425</v>
      </c>
      <c r="O36" s="79">
        <v>29875</v>
      </c>
      <c r="P36" s="1758">
        <f>O36*30.126/1000</f>
        <v>900.01425</v>
      </c>
      <c r="Q36" s="1301">
        <v>29875</v>
      </c>
      <c r="R36" s="55">
        <f>Q36*30.126/1000</f>
        <v>900.01425</v>
      </c>
      <c r="S36" s="2549"/>
      <c r="T36" s="44"/>
      <c r="U36" s="79"/>
      <c r="V36" s="191"/>
    </row>
    <row r="37" spans="1:22" s="6" customFormat="1" ht="15" customHeight="1">
      <c r="A37" s="192"/>
      <c r="B37" s="834" t="s">
        <v>333</v>
      </c>
      <c r="C37" s="803"/>
      <c r="D37" s="1524">
        <v>330</v>
      </c>
      <c r="E37" s="2534">
        <v>10954</v>
      </c>
      <c r="F37" s="195">
        <f>(E37*30.126)/1000</f>
        <v>330.00020400000005</v>
      </c>
      <c r="G37" s="446">
        <v>9294</v>
      </c>
      <c r="H37" s="666">
        <f t="shared" si="18"/>
        <v>279.991044</v>
      </c>
      <c r="I37" s="79">
        <v>9294</v>
      </c>
      <c r="J37" s="44">
        <f t="shared" si="19"/>
        <v>279.991044</v>
      </c>
      <c r="K37" s="9">
        <v>6971</v>
      </c>
      <c r="L37" s="44">
        <f t="shared" si="20"/>
        <v>210.00834600000002</v>
      </c>
      <c r="M37" s="79">
        <v>9958</v>
      </c>
      <c r="N37" s="44">
        <f t="shared" si="21"/>
        <v>299.994708</v>
      </c>
      <c r="O37" s="79">
        <v>9294</v>
      </c>
      <c r="P37" s="1758">
        <f>O37*30.126/1000</f>
        <v>279.991044</v>
      </c>
      <c r="Q37" s="1301">
        <v>9294</v>
      </c>
      <c r="R37" s="55">
        <f>Q37*30.126/1000</f>
        <v>279.991044</v>
      </c>
      <c r="S37" s="2549"/>
      <c r="T37" s="44"/>
      <c r="U37" s="79"/>
      <c r="V37" s="191"/>
    </row>
    <row r="38" spans="1:22" s="6" customFormat="1" ht="15" customHeight="1">
      <c r="A38" s="192"/>
      <c r="B38" s="834" t="s">
        <v>334</v>
      </c>
      <c r="C38" s="803"/>
      <c r="D38" s="1524">
        <v>150</v>
      </c>
      <c r="E38" s="2534">
        <v>4979</v>
      </c>
      <c r="F38" s="195">
        <f>(E38*30.126)/1000</f>
        <v>149.997354</v>
      </c>
      <c r="G38" s="679">
        <v>3319</v>
      </c>
      <c r="H38" s="666">
        <f t="shared" si="18"/>
        <v>99.98819400000001</v>
      </c>
      <c r="I38" s="79">
        <v>3319</v>
      </c>
      <c r="J38" s="44">
        <f t="shared" si="19"/>
        <v>99.98819400000001</v>
      </c>
      <c r="K38" s="79">
        <v>3651</v>
      </c>
      <c r="L38" s="44">
        <f t="shared" si="20"/>
        <v>109.990026</v>
      </c>
      <c r="M38" s="79">
        <v>3983</v>
      </c>
      <c r="N38" s="44">
        <f t="shared" si="21"/>
        <v>119.99185800000001</v>
      </c>
      <c r="O38" s="79">
        <v>3319</v>
      </c>
      <c r="P38" s="1758">
        <f>O38*30.126/1000</f>
        <v>99.98819400000001</v>
      </c>
      <c r="Q38" s="1301">
        <v>3319</v>
      </c>
      <c r="R38" s="55">
        <f>Q38*30.126/1000</f>
        <v>99.98819400000001</v>
      </c>
      <c r="S38" s="2549"/>
      <c r="T38" s="44"/>
      <c r="U38" s="79"/>
      <c r="V38" s="191"/>
    </row>
    <row r="39" spans="1:22" s="6" customFormat="1" ht="15" customHeight="1">
      <c r="A39" s="192"/>
      <c r="B39" s="834" t="s">
        <v>247</v>
      </c>
      <c r="C39" s="803"/>
      <c r="D39" s="1524"/>
      <c r="E39" s="2534"/>
      <c r="F39" s="195"/>
      <c r="G39" s="679">
        <v>6971</v>
      </c>
      <c r="H39" s="666">
        <f t="shared" si="18"/>
        <v>210.00834600000002</v>
      </c>
      <c r="I39" s="79">
        <v>6971</v>
      </c>
      <c r="J39" s="44">
        <f t="shared" si="19"/>
        <v>210.00834600000002</v>
      </c>
      <c r="K39" s="79">
        <v>6971</v>
      </c>
      <c r="L39" s="44">
        <f t="shared" si="20"/>
        <v>210.00834600000002</v>
      </c>
      <c r="M39" s="79">
        <v>7303</v>
      </c>
      <c r="N39" s="44">
        <f t="shared" si="21"/>
        <v>220.01017800000002</v>
      </c>
      <c r="O39" s="79">
        <v>6971</v>
      </c>
      <c r="P39" s="1758">
        <f>O39*30.126/1000</f>
        <v>210.00834600000002</v>
      </c>
      <c r="Q39" s="1301">
        <v>6971</v>
      </c>
      <c r="R39" s="55">
        <f>Q39*30.126/1000</f>
        <v>210.00834600000002</v>
      </c>
      <c r="S39" s="2549"/>
      <c r="T39" s="44"/>
      <c r="U39" s="79"/>
      <c r="V39" s="191"/>
    </row>
    <row r="40" spans="1:22" s="6" customFormat="1" ht="15" customHeight="1" hidden="1">
      <c r="A40" s="192"/>
      <c r="B40" s="834" t="s">
        <v>248</v>
      </c>
      <c r="C40" s="803"/>
      <c r="D40" s="1524"/>
      <c r="E40" s="2534"/>
      <c r="F40" s="195"/>
      <c r="G40" s="679">
        <v>830</v>
      </c>
      <c r="H40" s="666">
        <f t="shared" si="18"/>
        <v>25.00458</v>
      </c>
      <c r="I40" s="79"/>
      <c r="J40" s="44"/>
      <c r="K40" s="79">
        <v>830</v>
      </c>
      <c r="L40" s="44">
        <f t="shared" si="20"/>
        <v>25.00458</v>
      </c>
      <c r="M40" s="79">
        <v>830</v>
      </c>
      <c r="N40" s="44">
        <f t="shared" si="21"/>
        <v>25.00458</v>
      </c>
      <c r="O40" s="79"/>
      <c r="P40" s="1758"/>
      <c r="Q40" s="1301"/>
      <c r="R40" s="55"/>
      <c r="S40" s="2549"/>
      <c r="T40" s="44"/>
      <c r="U40" s="79"/>
      <c r="V40" s="191"/>
    </row>
    <row r="41" spans="1:22" s="6" customFormat="1" ht="15" customHeight="1">
      <c r="A41" s="192"/>
      <c r="B41" s="834" t="s">
        <v>179</v>
      </c>
      <c r="C41" s="803"/>
      <c r="D41" s="1524"/>
      <c r="E41" s="2534"/>
      <c r="F41" s="195"/>
      <c r="G41" s="679">
        <v>1660</v>
      </c>
      <c r="H41" s="666">
        <f t="shared" si="18"/>
        <v>50.00916</v>
      </c>
      <c r="I41" s="79">
        <v>1660</v>
      </c>
      <c r="J41" s="44">
        <f t="shared" si="19"/>
        <v>50.00916</v>
      </c>
      <c r="K41" s="79">
        <v>1992</v>
      </c>
      <c r="L41" s="44">
        <f t="shared" si="20"/>
        <v>60.01099200000001</v>
      </c>
      <c r="M41" s="79">
        <v>2324</v>
      </c>
      <c r="N41" s="44">
        <f t="shared" si="21"/>
        <v>70.01282400000001</v>
      </c>
      <c r="O41" s="79">
        <v>1660</v>
      </c>
      <c r="P41" s="1758">
        <f>O41*30.126/1000</f>
        <v>50.00916</v>
      </c>
      <c r="Q41" s="1301">
        <v>1660</v>
      </c>
      <c r="R41" s="55">
        <f>Q41*30.126/1000</f>
        <v>50.00916</v>
      </c>
      <c r="S41" s="2549"/>
      <c r="T41" s="44"/>
      <c r="U41" s="79"/>
      <c r="V41" s="191"/>
    </row>
    <row r="42" spans="1:22" s="6" customFormat="1" ht="15" customHeight="1">
      <c r="A42" s="192"/>
      <c r="B42" s="834" t="s">
        <v>180</v>
      </c>
      <c r="C42" s="803"/>
      <c r="D42" s="1524"/>
      <c r="E42" s="2534"/>
      <c r="F42" s="195"/>
      <c r="G42" s="679">
        <v>1660</v>
      </c>
      <c r="H42" s="666">
        <f t="shared" si="18"/>
        <v>50.00916</v>
      </c>
      <c r="I42" s="79">
        <v>1660</v>
      </c>
      <c r="J42" s="44">
        <f t="shared" si="19"/>
        <v>50.00916</v>
      </c>
      <c r="K42" s="79">
        <v>1992</v>
      </c>
      <c r="L42" s="44">
        <f t="shared" si="20"/>
        <v>60.01099200000001</v>
      </c>
      <c r="M42" s="79">
        <v>2324</v>
      </c>
      <c r="N42" s="44">
        <f t="shared" si="21"/>
        <v>70.01282400000001</v>
      </c>
      <c r="O42" s="79">
        <v>1660</v>
      </c>
      <c r="P42" s="1758">
        <f>O42*30.126/1000</f>
        <v>50.00916</v>
      </c>
      <c r="Q42" s="1301">
        <v>1660</v>
      </c>
      <c r="R42" s="55">
        <f>Q42*30.126/1000</f>
        <v>50.00916</v>
      </c>
      <c r="S42" s="2549"/>
      <c r="T42" s="44"/>
      <c r="U42" s="79"/>
      <c r="V42" s="191"/>
    </row>
    <row r="43" spans="1:22" s="6" customFormat="1" ht="15" customHeight="1">
      <c r="A43" s="199"/>
      <c r="B43" s="834" t="s">
        <v>335</v>
      </c>
      <c r="C43" s="803"/>
      <c r="D43" s="1524">
        <v>80</v>
      </c>
      <c r="E43" s="2534">
        <v>12282</v>
      </c>
      <c r="F43" s="195">
        <f>(E43*30.126)/1000</f>
        <v>370.007532</v>
      </c>
      <c r="G43" s="679"/>
      <c r="H43" s="673"/>
      <c r="I43" s="79"/>
      <c r="J43" s="79"/>
      <c r="K43" s="79"/>
      <c r="L43" s="79"/>
      <c r="M43" s="79"/>
      <c r="N43" s="79"/>
      <c r="O43" s="79"/>
      <c r="P43" s="1763"/>
      <c r="Q43" s="1301"/>
      <c r="R43" s="1302"/>
      <c r="S43" s="2549"/>
      <c r="T43" s="79"/>
      <c r="U43" s="79"/>
      <c r="V43" s="195"/>
    </row>
    <row r="44" spans="1:22" s="30" customFormat="1" ht="19.5" customHeight="1">
      <c r="A44" s="183" t="s">
        <v>161</v>
      </c>
      <c r="B44" s="831" t="s">
        <v>165</v>
      </c>
      <c r="C44" s="800">
        <f aca="true" t="shared" si="22" ref="C44:N44">C45+C55</f>
        <v>55830</v>
      </c>
      <c r="D44" s="1521">
        <f t="shared" si="22"/>
        <v>41003</v>
      </c>
      <c r="E44" s="769">
        <f t="shared" si="22"/>
        <v>379856</v>
      </c>
      <c r="F44" s="479">
        <f t="shared" si="22"/>
        <v>11443.541856</v>
      </c>
      <c r="G44" s="463">
        <f t="shared" si="22"/>
        <v>573920</v>
      </c>
      <c r="H44" s="447">
        <f t="shared" si="22"/>
        <v>17289.91392</v>
      </c>
      <c r="I44" s="28">
        <f t="shared" si="22"/>
        <v>432920</v>
      </c>
      <c r="J44" s="28">
        <f t="shared" si="22"/>
        <v>13042.14792</v>
      </c>
      <c r="K44" s="28">
        <f t="shared" si="22"/>
        <v>711052</v>
      </c>
      <c r="L44" s="28">
        <f t="shared" si="22"/>
        <v>21421.152552</v>
      </c>
      <c r="M44" s="28">
        <f t="shared" si="22"/>
        <v>545892</v>
      </c>
      <c r="N44" s="28">
        <f t="shared" si="22"/>
        <v>16445.542392000003</v>
      </c>
      <c r="O44" s="28">
        <f aca="true" t="shared" si="23" ref="O44:V44">O45+O55</f>
        <v>432920</v>
      </c>
      <c r="P44" s="455">
        <f t="shared" si="23"/>
        <v>13042.14792</v>
      </c>
      <c r="Q44" s="19">
        <f t="shared" si="23"/>
        <v>274354</v>
      </c>
      <c r="R44" s="17">
        <f t="shared" si="23"/>
        <v>8265.188604</v>
      </c>
      <c r="S44" s="779">
        <f t="shared" si="23"/>
        <v>274354</v>
      </c>
      <c r="T44" s="28">
        <f t="shared" si="23"/>
        <v>8265.188604</v>
      </c>
      <c r="U44" s="28">
        <f t="shared" si="23"/>
        <v>274354</v>
      </c>
      <c r="V44" s="479">
        <f t="shared" si="23"/>
        <v>8265.188604</v>
      </c>
    </row>
    <row r="45" spans="1:22" s="30" customFormat="1" ht="19.5" customHeight="1">
      <c r="A45" s="137" t="s">
        <v>162</v>
      </c>
      <c r="B45" s="832" t="s">
        <v>965</v>
      </c>
      <c r="C45" s="801">
        <f aca="true" t="shared" si="24" ref="C45:N45">SUM(C46:C47)</f>
        <v>6997</v>
      </c>
      <c r="D45" s="1522">
        <f t="shared" si="24"/>
        <v>15079</v>
      </c>
      <c r="E45" s="770">
        <f t="shared" si="24"/>
        <v>287494</v>
      </c>
      <c r="F45" s="480">
        <f t="shared" si="24"/>
        <v>8661.044244</v>
      </c>
      <c r="G45" s="464">
        <f t="shared" si="24"/>
        <v>285920</v>
      </c>
      <c r="H45" s="20">
        <f t="shared" si="24"/>
        <v>8613.62592</v>
      </c>
      <c r="I45" s="29">
        <f t="shared" si="24"/>
        <v>279920</v>
      </c>
      <c r="J45" s="29">
        <f t="shared" si="24"/>
        <v>8432.86992</v>
      </c>
      <c r="K45" s="29">
        <f t="shared" si="24"/>
        <v>490770</v>
      </c>
      <c r="L45" s="29">
        <f t="shared" si="24"/>
        <v>14784.937020000001</v>
      </c>
      <c r="M45" s="29">
        <f t="shared" si="24"/>
        <v>453892</v>
      </c>
      <c r="N45" s="29">
        <f t="shared" si="24"/>
        <v>13673.950392</v>
      </c>
      <c r="O45" s="29">
        <f>SUM(O46:O47)</f>
        <v>279920</v>
      </c>
      <c r="P45" s="456">
        <f>SUM(P46:P47)</f>
        <v>8432.86992</v>
      </c>
      <c r="Q45" s="20">
        <f>SUM(Q46:Q47)</f>
        <v>271354</v>
      </c>
      <c r="R45" s="18">
        <f>SUM(R46:R47)</f>
        <v>8174.810604</v>
      </c>
      <c r="S45" s="780">
        <v>271354</v>
      </c>
      <c r="T45" s="29">
        <f>S45*30.126/1000</f>
        <v>8174.810604</v>
      </c>
      <c r="U45" s="29">
        <v>271354</v>
      </c>
      <c r="V45" s="480">
        <f>U45*30.126/1000</f>
        <v>8174.810604</v>
      </c>
    </row>
    <row r="46" spans="1:22" s="6" customFormat="1" ht="15" customHeight="1">
      <c r="A46" s="187" t="s">
        <v>238</v>
      </c>
      <c r="B46" s="858" t="s">
        <v>151</v>
      </c>
      <c r="C46" s="853">
        <v>6215</v>
      </c>
      <c r="D46" s="2526">
        <v>10398</v>
      </c>
      <c r="E46" s="2534">
        <v>287494</v>
      </c>
      <c r="F46" s="195">
        <f>(E46*30.126)/1000</f>
        <v>8661.044244</v>
      </c>
      <c r="G46" s="679">
        <v>285920</v>
      </c>
      <c r="H46" s="673">
        <f>G46*30.126/1000</f>
        <v>8613.62592</v>
      </c>
      <c r="I46" s="79">
        <v>279920</v>
      </c>
      <c r="J46" s="79">
        <f>I46*30.126/1000</f>
        <v>8432.86992</v>
      </c>
      <c r="K46" s="79">
        <v>490770</v>
      </c>
      <c r="L46" s="79">
        <f>K46*30.126/1000</f>
        <v>14784.937020000001</v>
      </c>
      <c r="M46" s="79">
        <v>453892</v>
      </c>
      <c r="N46" s="79">
        <f>M46*30.126/1000</f>
        <v>13673.950392</v>
      </c>
      <c r="O46" s="79">
        <v>279920</v>
      </c>
      <c r="P46" s="1763">
        <f>O46*30.126/1000</f>
        <v>8432.86992</v>
      </c>
      <c r="Q46" s="1301">
        <v>271354</v>
      </c>
      <c r="R46" s="1302">
        <f>Q46*30.126/1000</f>
        <v>8174.810604</v>
      </c>
      <c r="S46" s="2549"/>
      <c r="T46" s="79"/>
      <c r="U46" s="79"/>
      <c r="V46" s="195"/>
    </row>
    <row r="47" spans="1:22" s="6" customFormat="1" ht="15" customHeight="1" hidden="1">
      <c r="A47" s="187" t="s">
        <v>239</v>
      </c>
      <c r="B47" s="859" t="s">
        <v>160</v>
      </c>
      <c r="C47" s="854">
        <f>SUM(C48:C54)</f>
        <v>782</v>
      </c>
      <c r="D47" s="1768">
        <f aca="true" t="shared" si="25" ref="D47:N47">SUM(D48:D54)</f>
        <v>4681</v>
      </c>
      <c r="E47" s="2536">
        <f t="shared" si="25"/>
        <v>0</v>
      </c>
      <c r="F47" s="2537">
        <f t="shared" si="25"/>
        <v>0</v>
      </c>
      <c r="G47" s="681">
        <f t="shared" si="25"/>
        <v>0</v>
      </c>
      <c r="H47" s="674">
        <f t="shared" si="25"/>
        <v>0</v>
      </c>
      <c r="I47" s="338">
        <f t="shared" si="25"/>
        <v>0</v>
      </c>
      <c r="J47" s="338">
        <f t="shared" si="25"/>
        <v>0</v>
      </c>
      <c r="K47" s="338">
        <f t="shared" si="25"/>
        <v>0</v>
      </c>
      <c r="L47" s="338">
        <f t="shared" si="25"/>
        <v>0</v>
      </c>
      <c r="M47" s="338">
        <f t="shared" si="25"/>
        <v>0</v>
      </c>
      <c r="N47" s="338">
        <f t="shared" si="25"/>
        <v>0</v>
      </c>
      <c r="O47" s="338">
        <f>SUM(O48:O54)</f>
        <v>0</v>
      </c>
      <c r="P47" s="1768">
        <f>SUM(P48:P54)</f>
        <v>0</v>
      </c>
      <c r="Q47" s="1771">
        <f>SUM(Q48:Q54)</f>
        <v>0</v>
      </c>
      <c r="R47" s="684">
        <f>SUM(R48:R54)</f>
        <v>0</v>
      </c>
      <c r="S47" s="854"/>
      <c r="T47" s="338"/>
      <c r="U47" s="338"/>
      <c r="V47" s="669"/>
    </row>
    <row r="48" spans="1:22" s="6" customFormat="1" ht="15" customHeight="1" hidden="1">
      <c r="A48" s="200"/>
      <c r="B48" s="834" t="s">
        <v>166</v>
      </c>
      <c r="C48" s="803"/>
      <c r="D48" s="1524">
        <v>1733</v>
      </c>
      <c r="E48" s="2372"/>
      <c r="F48" s="2373"/>
      <c r="G48" s="679"/>
      <c r="H48" s="673"/>
      <c r="I48" s="9"/>
      <c r="J48" s="79"/>
      <c r="K48" s="79"/>
      <c r="L48" s="79"/>
      <c r="M48" s="9"/>
      <c r="N48" s="79"/>
      <c r="O48" s="9"/>
      <c r="P48" s="1763"/>
      <c r="Q48" s="35"/>
      <c r="R48" s="1302"/>
      <c r="S48" s="782"/>
      <c r="T48" s="79"/>
      <c r="U48" s="9"/>
      <c r="V48" s="195"/>
    </row>
    <row r="49" spans="1:22" s="6" customFormat="1" ht="15" customHeight="1" hidden="1">
      <c r="A49" s="140"/>
      <c r="B49" s="834" t="s">
        <v>541</v>
      </c>
      <c r="C49" s="803">
        <v>53</v>
      </c>
      <c r="D49" s="1524">
        <v>363</v>
      </c>
      <c r="E49" s="2372"/>
      <c r="F49" s="2373"/>
      <c r="G49" s="679"/>
      <c r="H49" s="673"/>
      <c r="I49" s="9"/>
      <c r="J49" s="79"/>
      <c r="K49" s="79"/>
      <c r="L49" s="79"/>
      <c r="M49" s="9"/>
      <c r="N49" s="79"/>
      <c r="O49" s="9"/>
      <c r="P49" s="1763"/>
      <c r="Q49" s="35"/>
      <c r="R49" s="1302"/>
      <c r="S49" s="782"/>
      <c r="T49" s="79"/>
      <c r="U49" s="9"/>
      <c r="V49" s="195"/>
    </row>
    <row r="50" spans="1:22" s="6" customFormat="1" ht="15" customHeight="1" hidden="1">
      <c r="A50" s="140"/>
      <c r="B50" s="834" t="s">
        <v>544</v>
      </c>
      <c r="C50" s="803"/>
      <c r="D50" s="1524"/>
      <c r="E50" s="2372"/>
      <c r="F50" s="2373"/>
      <c r="G50" s="679"/>
      <c r="H50" s="673"/>
      <c r="I50" s="9"/>
      <c r="J50" s="79"/>
      <c r="K50" s="79"/>
      <c r="L50" s="79"/>
      <c r="M50" s="9"/>
      <c r="N50" s="79"/>
      <c r="O50" s="9"/>
      <c r="P50" s="1763"/>
      <c r="Q50" s="35"/>
      <c r="R50" s="1302"/>
      <c r="S50" s="782"/>
      <c r="T50" s="79"/>
      <c r="U50" s="9"/>
      <c r="V50" s="195"/>
    </row>
    <row r="51" spans="1:22" s="6" customFormat="1" ht="15" customHeight="1" hidden="1">
      <c r="A51" s="140"/>
      <c r="B51" s="834" t="s">
        <v>542</v>
      </c>
      <c r="C51" s="803">
        <v>536</v>
      </c>
      <c r="D51" s="1524"/>
      <c r="E51" s="2372"/>
      <c r="F51" s="2373"/>
      <c r="G51" s="679"/>
      <c r="H51" s="673"/>
      <c r="I51" s="9"/>
      <c r="J51" s="79"/>
      <c r="K51" s="79"/>
      <c r="L51" s="79"/>
      <c r="M51" s="9"/>
      <c r="N51" s="79"/>
      <c r="O51" s="9"/>
      <c r="P51" s="1763"/>
      <c r="Q51" s="35"/>
      <c r="R51" s="1302"/>
      <c r="S51" s="782"/>
      <c r="T51" s="79"/>
      <c r="U51" s="9"/>
      <c r="V51" s="195"/>
    </row>
    <row r="52" spans="1:22" s="6" customFormat="1" ht="15" customHeight="1" hidden="1">
      <c r="A52" s="140"/>
      <c r="B52" s="834" t="s">
        <v>543</v>
      </c>
      <c r="C52" s="803">
        <v>193</v>
      </c>
      <c r="D52" s="1524"/>
      <c r="E52" s="2372"/>
      <c r="F52" s="2373"/>
      <c r="G52" s="679"/>
      <c r="H52" s="673"/>
      <c r="I52" s="9"/>
      <c r="J52" s="79"/>
      <c r="K52" s="79"/>
      <c r="L52" s="79"/>
      <c r="M52" s="9"/>
      <c r="N52" s="79"/>
      <c r="O52" s="9"/>
      <c r="P52" s="1763"/>
      <c r="Q52" s="35"/>
      <c r="R52" s="1302"/>
      <c r="S52" s="782"/>
      <c r="T52" s="79"/>
      <c r="U52" s="9"/>
      <c r="V52" s="195"/>
    </row>
    <row r="53" spans="1:22" s="6" customFormat="1" ht="15" customHeight="1" hidden="1">
      <c r="A53" s="140"/>
      <c r="B53" s="834" t="s">
        <v>167</v>
      </c>
      <c r="C53" s="803"/>
      <c r="D53" s="1524"/>
      <c r="E53" s="2372"/>
      <c r="F53" s="2373"/>
      <c r="G53" s="446"/>
      <c r="H53" s="470"/>
      <c r="I53" s="9"/>
      <c r="J53" s="9"/>
      <c r="K53" s="9"/>
      <c r="L53" s="9"/>
      <c r="M53" s="9"/>
      <c r="N53" s="9"/>
      <c r="O53" s="9"/>
      <c r="P53" s="382"/>
      <c r="Q53" s="35"/>
      <c r="R53" s="8"/>
      <c r="S53" s="782"/>
      <c r="T53" s="9"/>
      <c r="U53" s="9"/>
      <c r="V53" s="139"/>
    </row>
    <row r="54" spans="1:22" s="6" customFormat="1" ht="15" customHeight="1" hidden="1">
      <c r="A54" s="140"/>
      <c r="B54" s="834" t="s">
        <v>168</v>
      </c>
      <c r="C54" s="855"/>
      <c r="D54" s="1528">
        <v>2585</v>
      </c>
      <c r="E54" s="2372"/>
      <c r="F54" s="2373"/>
      <c r="G54" s="446"/>
      <c r="H54" s="470"/>
      <c r="I54" s="9"/>
      <c r="J54" s="9"/>
      <c r="K54" s="9"/>
      <c r="L54" s="9"/>
      <c r="M54" s="9"/>
      <c r="N54" s="9"/>
      <c r="O54" s="9"/>
      <c r="P54" s="382"/>
      <c r="Q54" s="35"/>
      <c r="R54" s="8"/>
      <c r="S54" s="782"/>
      <c r="T54" s="9"/>
      <c r="U54" s="9"/>
      <c r="V54" s="139"/>
    </row>
    <row r="55" spans="1:22" s="30" customFormat="1" ht="19.5" customHeight="1">
      <c r="A55" s="137" t="s">
        <v>163</v>
      </c>
      <c r="B55" s="832" t="s">
        <v>967</v>
      </c>
      <c r="C55" s="801">
        <f>C56+C63</f>
        <v>48833</v>
      </c>
      <c r="D55" s="1522">
        <f aca="true" t="shared" si="26" ref="D55:N55">D56+D63</f>
        <v>25924</v>
      </c>
      <c r="E55" s="2538">
        <f t="shared" si="26"/>
        <v>92362</v>
      </c>
      <c r="F55" s="670">
        <f t="shared" si="26"/>
        <v>2782.497612</v>
      </c>
      <c r="G55" s="536">
        <f t="shared" si="26"/>
        <v>288000</v>
      </c>
      <c r="H55" s="538">
        <f t="shared" si="26"/>
        <v>8676.287999999999</v>
      </c>
      <c r="I55" s="269">
        <f t="shared" si="26"/>
        <v>153000</v>
      </c>
      <c r="J55" s="269">
        <f t="shared" si="26"/>
        <v>4609.277999999999</v>
      </c>
      <c r="K55" s="269">
        <f t="shared" si="26"/>
        <v>220282</v>
      </c>
      <c r="L55" s="269">
        <f t="shared" si="26"/>
        <v>6636.215532</v>
      </c>
      <c r="M55" s="269">
        <f t="shared" si="26"/>
        <v>92000</v>
      </c>
      <c r="N55" s="269">
        <f t="shared" si="26"/>
        <v>2771.5920000000006</v>
      </c>
      <c r="O55" s="269">
        <f>O56+O63</f>
        <v>153000</v>
      </c>
      <c r="P55" s="1522">
        <f>P56+P63</f>
        <v>4609.277999999999</v>
      </c>
      <c r="Q55" s="538">
        <f>Q56+Q63</f>
        <v>3000</v>
      </c>
      <c r="R55" s="321">
        <f>R56+R63</f>
        <v>90.378</v>
      </c>
      <c r="S55" s="801">
        <v>3000</v>
      </c>
      <c r="T55" s="269">
        <f>S55*30.126/1000</f>
        <v>90.378</v>
      </c>
      <c r="U55" s="269">
        <v>3000</v>
      </c>
      <c r="V55" s="670">
        <f>U55*30.126/1000</f>
        <v>90.378</v>
      </c>
    </row>
    <row r="56" spans="1:22" s="6" customFormat="1" ht="15" customHeight="1">
      <c r="A56" s="184" t="s">
        <v>701</v>
      </c>
      <c r="B56" s="860" t="s">
        <v>1111</v>
      </c>
      <c r="C56" s="856">
        <f aca="true" t="shared" si="27" ref="C56:N56">SUM(C57:C62)</f>
        <v>5</v>
      </c>
      <c r="D56" s="2527">
        <f t="shared" si="27"/>
        <v>0</v>
      </c>
      <c r="E56" s="2539">
        <f t="shared" si="27"/>
        <v>54189</v>
      </c>
      <c r="F56" s="671">
        <f t="shared" si="27"/>
        <v>1632.497814</v>
      </c>
      <c r="G56" s="682">
        <f t="shared" si="27"/>
        <v>135000</v>
      </c>
      <c r="H56" s="675">
        <f t="shared" si="27"/>
        <v>4067.0099999999998</v>
      </c>
      <c r="I56" s="676">
        <f t="shared" si="27"/>
        <v>0</v>
      </c>
      <c r="J56" s="676">
        <f t="shared" si="27"/>
        <v>0</v>
      </c>
      <c r="K56" s="676">
        <f t="shared" si="27"/>
        <v>99582</v>
      </c>
      <c r="L56" s="676">
        <f t="shared" si="27"/>
        <v>3000.007332</v>
      </c>
      <c r="M56" s="676">
        <f t="shared" si="27"/>
        <v>0</v>
      </c>
      <c r="N56" s="676">
        <f t="shared" si="27"/>
        <v>0</v>
      </c>
      <c r="O56" s="676">
        <f>SUM(O57:O62)</f>
        <v>0</v>
      </c>
      <c r="P56" s="1769">
        <f>SUM(P57:P62)</f>
        <v>0</v>
      </c>
      <c r="Q56" s="1304"/>
      <c r="R56" s="1305"/>
      <c r="S56" s="2553"/>
      <c r="T56" s="676"/>
      <c r="U56" s="676"/>
      <c r="V56" s="671"/>
    </row>
    <row r="57" spans="1:22" s="6" customFormat="1" ht="15" customHeight="1" hidden="1">
      <c r="A57" s="201"/>
      <c r="B57" s="834" t="s">
        <v>171</v>
      </c>
      <c r="C57" s="803">
        <v>5</v>
      </c>
      <c r="D57" s="1524"/>
      <c r="E57" s="772"/>
      <c r="F57" s="139"/>
      <c r="G57" s="679">
        <v>50000</v>
      </c>
      <c r="H57" s="673">
        <f>G57*30.126/1000</f>
        <v>1506.3</v>
      </c>
      <c r="I57" s="9"/>
      <c r="J57" s="79"/>
      <c r="K57" s="79"/>
      <c r="L57" s="79"/>
      <c r="M57" s="9"/>
      <c r="N57" s="79"/>
      <c r="O57" s="9"/>
      <c r="P57" s="1763"/>
      <c r="Q57" s="35"/>
      <c r="R57" s="1302"/>
      <c r="S57" s="782"/>
      <c r="T57" s="79"/>
      <c r="U57" s="9"/>
      <c r="V57" s="195"/>
    </row>
    <row r="58" spans="1:22" s="6" customFormat="1" ht="15" customHeight="1" hidden="1">
      <c r="A58" s="140"/>
      <c r="B58" s="834" t="s">
        <v>172</v>
      </c>
      <c r="C58" s="803"/>
      <c r="D58" s="1524"/>
      <c r="E58" s="772"/>
      <c r="F58" s="139"/>
      <c r="G58" s="679">
        <v>70000</v>
      </c>
      <c r="H58" s="673">
        <f>G58*30.126/1000</f>
        <v>2108.82</v>
      </c>
      <c r="I58" s="9"/>
      <c r="J58" s="79"/>
      <c r="K58" s="79"/>
      <c r="L58" s="79"/>
      <c r="M58" s="9"/>
      <c r="N58" s="79"/>
      <c r="O58" s="9"/>
      <c r="P58" s="1763"/>
      <c r="Q58" s="35"/>
      <c r="R58" s="1302"/>
      <c r="S58" s="782"/>
      <c r="T58" s="79"/>
      <c r="U58" s="9"/>
      <c r="V58" s="195"/>
    </row>
    <row r="59" spans="1:22" s="6" customFormat="1" ht="15" customHeight="1">
      <c r="A59" s="140"/>
      <c r="B59" s="834" t="s">
        <v>234</v>
      </c>
      <c r="C59" s="803"/>
      <c r="D59" s="1524"/>
      <c r="E59" s="772">
        <v>16597</v>
      </c>
      <c r="F59" s="139">
        <f>(E59*30.126)/1000</f>
        <v>500.001222</v>
      </c>
      <c r="G59" s="679"/>
      <c r="H59" s="673"/>
      <c r="I59" s="9"/>
      <c r="J59" s="79"/>
      <c r="K59" s="79">
        <v>99582</v>
      </c>
      <c r="L59" s="79">
        <f>K59*30.126/1000</f>
        <v>3000.007332</v>
      </c>
      <c r="M59" s="9"/>
      <c r="N59" s="79"/>
      <c r="O59" s="9"/>
      <c r="P59" s="1763"/>
      <c r="Q59" s="35"/>
      <c r="R59" s="1302"/>
      <c r="S59" s="782"/>
      <c r="T59" s="79"/>
      <c r="U59" s="9"/>
      <c r="V59" s="195"/>
    </row>
    <row r="60" spans="1:22" s="6" customFormat="1" ht="15" customHeight="1">
      <c r="A60" s="202"/>
      <c r="B60" s="834" t="s">
        <v>235</v>
      </c>
      <c r="C60" s="803"/>
      <c r="D60" s="1524"/>
      <c r="E60" s="2534">
        <v>33967</v>
      </c>
      <c r="F60" s="139">
        <f>(E60*30.126)/1000</f>
        <v>1023.289842</v>
      </c>
      <c r="G60" s="679">
        <v>15000</v>
      </c>
      <c r="H60" s="673">
        <f>G60*30.126/1000</f>
        <v>451.89</v>
      </c>
      <c r="I60" s="79"/>
      <c r="J60" s="79"/>
      <c r="K60" s="79"/>
      <c r="L60" s="79"/>
      <c r="M60" s="79"/>
      <c r="N60" s="79"/>
      <c r="O60" s="79"/>
      <c r="P60" s="1763"/>
      <c r="Q60" s="1301"/>
      <c r="R60" s="1302"/>
      <c r="S60" s="2549"/>
      <c r="T60" s="79"/>
      <c r="U60" s="79"/>
      <c r="V60" s="195"/>
    </row>
    <row r="61" spans="1:22" s="6" customFormat="1" ht="15" customHeight="1">
      <c r="A61" s="202"/>
      <c r="B61" s="834" t="s">
        <v>236</v>
      </c>
      <c r="C61" s="803"/>
      <c r="D61" s="1524"/>
      <c r="E61" s="2534">
        <v>996</v>
      </c>
      <c r="F61" s="139">
        <f>(E61*30.126)/1000</f>
        <v>30.005496000000004</v>
      </c>
      <c r="G61" s="679"/>
      <c r="H61" s="673"/>
      <c r="I61" s="79"/>
      <c r="J61" s="79"/>
      <c r="K61" s="79"/>
      <c r="L61" s="79"/>
      <c r="M61" s="79"/>
      <c r="N61" s="79"/>
      <c r="O61" s="79"/>
      <c r="P61" s="1763"/>
      <c r="Q61" s="1301"/>
      <c r="R61" s="1302"/>
      <c r="S61" s="2549"/>
      <c r="T61" s="79"/>
      <c r="U61" s="79"/>
      <c r="V61" s="195"/>
    </row>
    <row r="62" spans="1:22" s="6" customFormat="1" ht="15" customHeight="1">
      <c r="A62" s="202"/>
      <c r="B62" s="834" t="s">
        <v>237</v>
      </c>
      <c r="C62" s="803"/>
      <c r="D62" s="1524"/>
      <c r="E62" s="2534">
        <v>2629</v>
      </c>
      <c r="F62" s="139">
        <f>(E62*30.126)/1000</f>
        <v>79.201254</v>
      </c>
      <c r="G62" s="679"/>
      <c r="H62" s="673"/>
      <c r="I62" s="79"/>
      <c r="J62" s="79"/>
      <c r="K62" s="79"/>
      <c r="L62" s="79"/>
      <c r="M62" s="79"/>
      <c r="N62" s="79"/>
      <c r="O62" s="79"/>
      <c r="P62" s="1763"/>
      <c r="Q62" s="1301"/>
      <c r="R62" s="1302"/>
      <c r="S62" s="2549"/>
      <c r="T62" s="79"/>
      <c r="U62" s="79"/>
      <c r="V62" s="195"/>
    </row>
    <row r="63" spans="1:22" s="6" customFormat="1" ht="15" customHeight="1">
      <c r="A63" s="187" t="s">
        <v>702</v>
      </c>
      <c r="B63" s="838" t="s">
        <v>1108</v>
      </c>
      <c r="C63" s="855">
        <v>48828</v>
      </c>
      <c r="D63" s="1528">
        <v>25924</v>
      </c>
      <c r="E63" s="772">
        <f>E64+E65+E67+E73+E76</f>
        <v>38173</v>
      </c>
      <c r="F63" s="139">
        <f>F64+F65+F67+F73+F76</f>
        <v>1149.999798</v>
      </c>
      <c r="G63" s="446">
        <f>G64+G65+G66+G67+G68+G73+G76</f>
        <v>153000</v>
      </c>
      <c r="H63" s="470">
        <f aca="true" t="shared" si="28" ref="H63:N63">H64+H65+H66+H67+H68+H73+H76</f>
        <v>4609.277999999999</v>
      </c>
      <c r="I63" s="9">
        <f t="shared" si="28"/>
        <v>153000</v>
      </c>
      <c r="J63" s="9">
        <f t="shared" si="28"/>
        <v>4609.277999999999</v>
      </c>
      <c r="K63" s="9">
        <f t="shared" si="28"/>
        <v>120700</v>
      </c>
      <c r="L63" s="9">
        <f t="shared" si="28"/>
        <v>3636.2082000000005</v>
      </c>
      <c r="M63" s="9">
        <f t="shared" si="28"/>
        <v>92000</v>
      </c>
      <c r="N63" s="9">
        <f t="shared" si="28"/>
        <v>2771.5920000000006</v>
      </c>
      <c r="O63" s="9">
        <f>O64+O65+O66+O67+O68+O73+O76</f>
        <v>153000</v>
      </c>
      <c r="P63" s="382">
        <f>P64+P65+P66+P67+P68+P73+P76</f>
        <v>4609.277999999999</v>
      </c>
      <c r="Q63" s="35">
        <f>Q64+Q65+Q66+Q67+Q68+Q73+Q76</f>
        <v>3000</v>
      </c>
      <c r="R63" s="8">
        <f>R64+R65+R66+R67+R68+R73+R76</f>
        <v>90.378</v>
      </c>
      <c r="S63" s="782"/>
      <c r="T63" s="9"/>
      <c r="U63" s="9"/>
      <c r="V63" s="139"/>
    </row>
    <row r="64" spans="1:22" s="6" customFormat="1" ht="15" customHeight="1">
      <c r="A64" s="203"/>
      <c r="B64" s="834" t="s">
        <v>240</v>
      </c>
      <c r="C64" s="855"/>
      <c r="D64" s="1528"/>
      <c r="E64" s="772">
        <v>16597</v>
      </c>
      <c r="F64" s="139">
        <f>(E64*30.126)/1000</f>
        <v>500.001222</v>
      </c>
      <c r="G64" s="446"/>
      <c r="H64" s="470"/>
      <c r="I64" s="9"/>
      <c r="J64" s="9"/>
      <c r="K64" s="9"/>
      <c r="L64" s="9"/>
      <c r="M64" s="9"/>
      <c r="N64" s="9"/>
      <c r="O64" s="9"/>
      <c r="P64" s="382"/>
      <c r="Q64" s="35"/>
      <c r="R64" s="8"/>
      <c r="S64" s="782"/>
      <c r="T64" s="9"/>
      <c r="U64" s="9"/>
      <c r="V64" s="139"/>
    </row>
    <row r="65" spans="1:22" s="6" customFormat="1" ht="15" customHeight="1">
      <c r="A65" s="190"/>
      <c r="B65" s="834" t="s">
        <v>539</v>
      </c>
      <c r="C65" s="855"/>
      <c r="D65" s="1528"/>
      <c r="E65" s="772">
        <v>6639</v>
      </c>
      <c r="F65" s="139">
        <f>(E65*30.126)/1000</f>
        <v>200.00651399999998</v>
      </c>
      <c r="G65" s="446"/>
      <c r="H65" s="470"/>
      <c r="I65" s="9"/>
      <c r="J65" s="9"/>
      <c r="K65" s="9"/>
      <c r="L65" s="9"/>
      <c r="M65" s="9"/>
      <c r="N65" s="9"/>
      <c r="O65" s="9"/>
      <c r="P65" s="382"/>
      <c r="Q65" s="35"/>
      <c r="R65" s="8"/>
      <c r="S65" s="782"/>
      <c r="T65" s="9"/>
      <c r="U65" s="9"/>
      <c r="V65" s="139"/>
    </row>
    <row r="66" spans="1:22" s="6" customFormat="1" ht="15" customHeight="1">
      <c r="A66" s="190"/>
      <c r="B66" s="834" t="s">
        <v>185</v>
      </c>
      <c r="C66" s="855"/>
      <c r="D66" s="1528"/>
      <c r="E66" s="772"/>
      <c r="F66" s="139"/>
      <c r="G66" s="446">
        <v>3000</v>
      </c>
      <c r="H66" s="470">
        <f>G66*30.126/1000</f>
        <v>90.378</v>
      </c>
      <c r="I66" s="9">
        <v>3000</v>
      </c>
      <c r="J66" s="9">
        <f>I66*30.126/1000</f>
        <v>90.378</v>
      </c>
      <c r="K66" s="9">
        <v>30000</v>
      </c>
      <c r="L66" s="9">
        <f>K66*30.126/1000</f>
        <v>903.78</v>
      </c>
      <c r="M66" s="9"/>
      <c r="N66" s="9"/>
      <c r="O66" s="9">
        <v>3000</v>
      </c>
      <c r="P66" s="382">
        <f>O66*30.126/1000</f>
        <v>90.378</v>
      </c>
      <c r="Q66" s="35">
        <v>3000</v>
      </c>
      <c r="R66" s="8">
        <f>Q66*30.126/1000</f>
        <v>90.378</v>
      </c>
      <c r="S66" s="782"/>
      <c r="T66" s="9"/>
      <c r="U66" s="9"/>
      <c r="V66" s="139"/>
    </row>
    <row r="67" spans="1:22" s="6" customFormat="1" ht="15" customHeight="1" hidden="1">
      <c r="A67" s="190"/>
      <c r="B67" s="834" t="s">
        <v>241</v>
      </c>
      <c r="C67" s="855"/>
      <c r="D67" s="1528"/>
      <c r="E67" s="772"/>
      <c r="F67" s="139"/>
      <c r="G67" s="446"/>
      <c r="H67" s="470"/>
      <c r="I67" s="9"/>
      <c r="J67" s="9"/>
      <c r="K67" s="9">
        <v>35000</v>
      </c>
      <c r="L67" s="9">
        <f aca="true" t="shared" si="29" ref="L67:L72">K67*30.126/1000</f>
        <v>1054.41</v>
      </c>
      <c r="M67" s="9">
        <v>35000</v>
      </c>
      <c r="N67" s="9">
        <f>M67*30.126/1000</f>
        <v>1054.41</v>
      </c>
      <c r="O67" s="9"/>
      <c r="P67" s="382"/>
      <c r="Q67" s="35"/>
      <c r="R67" s="8"/>
      <c r="S67" s="782"/>
      <c r="T67" s="9"/>
      <c r="U67" s="9"/>
      <c r="V67" s="139"/>
    </row>
    <row r="68" spans="1:22" s="6" customFormat="1" ht="15" customHeight="1" hidden="1">
      <c r="A68" s="190"/>
      <c r="B68" s="834" t="s">
        <v>186</v>
      </c>
      <c r="C68" s="855"/>
      <c r="D68" s="1528"/>
      <c r="E68" s="772"/>
      <c r="F68" s="139"/>
      <c r="G68" s="446">
        <f>SUM(G69:G72)</f>
        <v>150000</v>
      </c>
      <c r="H68" s="470">
        <f aca="true" t="shared" si="30" ref="H68:N68">SUM(H69:H72)</f>
        <v>4518.9</v>
      </c>
      <c r="I68" s="9">
        <f t="shared" si="30"/>
        <v>150000</v>
      </c>
      <c r="J68" s="9">
        <f t="shared" si="30"/>
        <v>4518.9</v>
      </c>
      <c r="K68" s="9">
        <f t="shared" si="30"/>
        <v>35700</v>
      </c>
      <c r="L68" s="9">
        <f t="shared" si="30"/>
        <v>1075.4982</v>
      </c>
      <c r="M68" s="9">
        <f t="shared" si="30"/>
        <v>52000</v>
      </c>
      <c r="N68" s="9">
        <f t="shared" si="30"/>
        <v>1566.5520000000001</v>
      </c>
      <c r="O68" s="9">
        <f>SUM(O69:O72)</f>
        <v>150000</v>
      </c>
      <c r="P68" s="382">
        <f>SUM(P69:P72)</f>
        <v>4518.9</v>
      </c>
      <c r="Q68" s="35"/>
      <c r="R68" s="8"/>
      <c r="S68" s="782"/>
      <c r="T68" s="9"/>
      <c r="U68" s="9"/>
      <c r="V68" s="139"/>
    </row>
    <row r="69" spans="1:22" s="6" customFormat="1" ht="15" customHeight="1" hidden="1">
      <c r="A69" s="190"/>
      <c r="B69" s="839" t="s">
        <v>189</v>
      </c>
      <c r="C69" s="855"/>
      <c r="D69" s="1528"/>
      <c r="E69" s="772"/>
      <c r="F69" s="139"/>
      <c r="G69" s="446">
        <v>150000</v>
      </c>
      <c r="H69" s="470">
        <f>G69*30.126/1000</f>
        <v>4518.9</v>
      </c>
      <c r="I69" s="9">
        <v>150000</v>
      </c>
      <c r="J69" s="9">
        <f>I69*30.126/1000</f>
        <v>4518.9</v>
      </c>
      <c r="K69" s="9"/>
      <c r="L69" s="9"/>
      <c r="M69" s="9"/>
      <c r="N69" s="9"/>
      <c r="O69" s="9">
        <v>150000</v>
      </c>
      <c r="P69" s="382">
        <f>O69*30.126/1000</f>
        <v>4518.9</v>
      </c>
      <c r="Q69" s="35"/>
      <c r="R69" s="8"/>
      <c r="S69" s="782"/>
      <c r="T69" s="9"/>
      <c r="U69" s="9"/>
      <c r="V69" s="139"/>
    </row>
    <row r="70" spans="1:22" s="6" customFormat="1" ht="15" customHeight="1" hidden="1">
      <c r="A70" s="190"/>
      <c r="B70" s="839" t="s">
        <v>190</v>
      </c>
      <c r="C70" s="855"/>
      <c r="D70" s="1528"/>
      <c r="E70" s="772"/>
      <c r="F70" s="139"/>
      <c r="G70" s="446"/>
      <c r="H70" s="470"/>
      <c r="I70" s="9"/>
      <c r="J70" s="9"/>
      <c r="K70" s="9">
        <v>700</v>
      </c>
      <c r="L70" s="9">
        <f t="shared" si="29"/>
        <v>21.0882</v>
      </c>
      <c r="M70" s="9"/>
      <c r="N70" s="9"/>
      <c r="O70" s="9"/>
      <c r="P70" s="382"/>
      <c r="Q70" s="35"/>
      <c r="R70" s="8"/>
      <c r="S70" s="782"/>
      <c r="T70" s="9"/>
      <c r="U70" s="9"/>
      <c r="V70" s="139"/>
    </row>
    <row r="71" spans="1:22" s="6" customFormat="1" ht="15" customHeight="1" hidden="1">
      <c r="A71" s="190"/>
      <c r="B71" s="839" t="s">
        <v>187</v>
      </c>
      <c r="C71" s="855"/>
      <c r="D71" s="1528"/>
      <c r="E71" s="772"/>
      <c r="F71" s="139"/>
      <c r="G71" s="446"/>
      <c r="H71" s="470"/>
      <c r="I71" s="9"/>
      <c r="J71" s="9"/>
      <c r="K71" s="9"/>
      <c r="L71" s="9"/>
      <c r="M71" s="9">
        <v>17000</v>
      </c>
      <c r="N71" s="9">
        <f>M71*30.126/1000</f>
        <v>512.142</v>
      </c>
      <c r="O71" s="9"/>
      <c r="P71" s="382"/>
      <c r="Q71" s="35"/>
      <c r="R71" s="8"/>
      <c r="S71" s="782"/>
      <c r="T71" s="9"/>
      <c r="U71" s="9"/>
      <c r="V71" s="139"/>
    </row>
    <row r="72" spans="1:22" s="6" customFormat="1" ht="15" customHeight="1" hidden="1">
      <c r="A72" s="190"/>
      <c r="B72" s="839" t="s">
        <v>188</v>
      </c>
      <c r="C72" s="855"/>
      <c r="D72" s="1528"/>
      <c r="E72" s="772"/>
      <c r="F72" s="139"/>
      <c r="G72" s="446"/>
      <c r="H72" s="470"/>
      <c r="I72" s="9"/>
      <c r="J72" s="9"/>
      <c r="K72" s="9">
        <v>35000</v>
      </c>
      <c r="L72" s="9">
        <f t="shared" si="29"/>
        <v>1054.41</v>
      </c>
      <c r="M72" s="9">
        <v>35000</v>
      </c>
      <c r="N72" s="9">
        <f>M72*30.126/1000</f>
        <v>1054.41</v>
      </c>
      <c r="O72" s="9"/>
      <c r="P72" s="382"/>
      <c r="Q72" s="35"/>
      <c r="R72" s="8"/>
      <c r="S72" s="782"/>
      <c r="T72" s="9"/>
      <c r="U72" s="9"/>
      <c r="V72" s="139"/>
    </row>
    <row r="73" spans="1:22" s="6" customFormat="1" ht="15" customHeight="1" hidden="1">
      <c r="A73" s="190"/>
      <c r="B73" s="834" t="s">
        <v>242</v>
      </c>
      <c r="C73" s="855">
        <f aca="true" t="shared" si="31" ref="C73:N73">SUM(C74:C75)</f>
        <v>0</v>
      </c>
      <c r="D73" s="1528">
        <f t="shared" si="31"/>
        <v>0</v>
      </c>
      <c r="E73" s="772">
        <f t="shared" si="31"/>
        <v>0</v>
      </c>
      <c r="F73" s="139">
        <f t="shared" si="31"/>
        <v>0</v>
      </c>
      <c r="G73" s="446">
        <f t="shared" si="31"/>
        <v>0</v>
      </c>
      <c r="H73" s="470">
        <f t="shared" si="31"/>
        <v>0</v>
      </c>
      <c r="I73" s="9">
        <f t="shared" si="31"/>
        <v>0</v>
      </c>
      <c r="J73" s="9">
        <f t="shared" si="31"/>
        <v>0</v>
      </c>
      <c r="K73" s="9">
        <f t="shared" si="31"/>
        <v>17000</v>
      </c>
      <c r="L73" s="9">
        <f t="shared" si="31"/>
        <v>512.142</v>
      </c>
      <c r="M73" s="9">
        <f t="shared" si="31"/>
        <v>5000</v>
      </c>
      <c r="N73" s="9">
        <f t="shared" si="31"/>
        <v>150.63</v>
      </c>
      <c r="O73" s="9">
        <f>SUM(O74:O75)</f>
        <v>0</v>
      </c>
      <c r="P73" s="382">
        <f>SUM(P74:P75)</f>
        <v>0</v>
      </c>
      <c r="Q73" s="35"/>
      <c r="R73" s="8"/>
      <c r="S73" s="782"/>
      <c r="T73" s="9"/>
      <c r="U73" s="9"/>
      <c r="V73" s="139"/>
    </row>
    <row r="74" spans="1:22" s="6" customFormat="1" ht="15" customHeight="1" hidden="1">
      <c r="A74" s="190"/>
      <c r="B74" s="839" t="s">
        <v>408</v>
      </c>
      <c r="C74" s="855"/>
      <c r="D74" s="1528"/>
      <c r="E74" s="772"/>
      <c r="F74" s="139"/>
      <c r="G74" s="446"/>
      <c r="H74" s="470"/>
      <c r="I74" s="9"/>
      <c r="J74" s="9"/>
      <c r="K74" s="9"/>
      <c r="L74" s="9"/>
      <c r="M74" s="9">
        <v>5000</v>
      </c>
      <c r="N74" s="9">
        <f>M74*30.126/1000</f>
        <v>150.63</v>
      </c>
      <c r="O74" s="9"/>
      <c r="P74" s="382"/>
      <c r="Q74" s="35"/>
      <c r="R74" s="8"/>
      <c r="S74" s="782"/>
      <c r="T74" s="9"/>
      <c r="U74" s="9"/>
      <c r="V74" s="139"/>
    </row>
    <row r="75" spans="1:22" s="6" customFormat="1" ht="15" customHeight="1" hidden="1">
      <c r="A75" s="190"/>
      <c r="B75" s="839" t="s">
        <v>409</v>
      </c>
      <c r="C75" s="855"/>
      <c r="D75" s="1528"/>
      <c r="E75" s="772"/>
      <c r="F75" s="139"/>
      <c r="G75" s="446"/>
      <c r="H75" s="470"/>
      <c r="I75" s="9"/>
      <c r="J75" s="9"/>
      <c r="K75" s="9">
        <v>17000</v>
      </c>
      <c r="L75" s="9">
        <f>K75*30.126/1000</f>
        <v>512.142</v>
      </c>
      <c r="M75" s="9"/>
      <c r="N75" s="9"/>
      <c r="O75" s="9"/>
      <c r="P75" s="382"/>
      <c r="Q75" s="35"/>
      <c r="R75" s="8"/>
      <c r="S75" s="782"/>
      <c r="T75" s="9"/>
      <c r="U75" s="9"/>
      <c r="V75" s="139"/>
    </row>
    <row r="76" spans="1:22" s="6" customFormat="1" ht="15" customHeight="1">
      <c r="A76" s="190"/>
      <c r="B76" s="834" t="s">
        <v>244</v>
      </c>
      <c r="C76" s="855">
        <f aca="true" t="shared" si="32" ref="C76:N76">SUM(C77:C78)</f>
        <v>0</v>
      </c>
      <c r="D76" s="1528">
        <f t="shared" si="32"/>
        <v>0</v>
      </c>
      <c r="E76" s="861">
        <f t="shared" si="32"/>
        <v>14937</v>
      </c>
      <c r="F76" s="207">
        <f t="shared" si="32"/>
        <v>449.99206200000003</v>
      </c>
      <c r="G76" s="615">
        <f t="shared" si="32"/>
        <v>0</v>
      </c>
      <c r="H76" s="448">
        <f t="shared" si="32"/>
        <v>0</v>
      </c>
      <c r="I76" s="14">
        <f t="shared" si="32"/>
        <v>0</v>
      </c>
      <c r="J76" s="14">
        <f t="shared" si="32"/>
        <v>0</v>
      </c>
      <c r="K76" s="14">
        <f t="shared" si="32"/>
        <v>3000</v>
      </c>
      <c r="L76" s="14">
        <f t="shared" si="32"/>
        <v>90.378</v>
      </c>
      <c r="M76" s="14">
        <f t="shared" si="32"/>
        <v>0</v>
      </c>
      <c r="N76" s="14">
        <f t="shared" si="32"/>
        <v>0</v>
      </c>
      <c r="O76" s="14">
        <f>SUM(O77:O78)</f>
        <v>0</v>
      </c>
      <c r="P76" s="1528">
        <f>SUM(P77:P78)</f>
        <v>0</v>
      </c>
      <c r="Q76" s="38"/>
      <c r="R76" s="39"/>
      <c r="S76" s="855"/>
      <c r="T76" s="14"/>
      <c r="U76" s="14"/>
      <c r="V76" s="207"/>
    </row>
    <row r="77" spans="1:22" s="6" customFormat="1" ht="15" customHeight="1" hidden="1">
      <c r="A77" s="190"/>
      <c r="B77" s="839" t="s">
        <v>139</v>
      </c>
      <c r="C77" s="855"/>
      <c r="D77" s="1528"/>
      <c r="E77" s="772"/>
      <c r="F77" s="139"/>
      <c r="G77" s="446"/>
      <c r="H77" s="470"/>
      <c r="I77" s="9"/>
      <c r="J77" s="9"/>
      <c r="K77" s="9">
        <v>3000</v>
      </c>
      <c r="L77" s="9">
        <f>K77*30.126/1000</f>
        <v>90.378</v>
      </c>
      <c r="M77" s="9"/>
      <c r="N77" s="9"/>
      <c r="O77" s="9"/>
      <c r="P77" s="382"/>
      <c r="Q77" s="35"/>
      <c r="R77" s="8"/>
      <c r="S77" s="782"/>
      <c r="T77" s="9"/>
      <c r="U77" s="9"/>
      <c r="V77" s="139"/>
    </row>
    <row r="78" spans="1:22" s="6" customFormat="1" ht="15" customHeight="1" thickBot="1">
      <c r="A78" s="193"/>
      <c r="B78" s="841" t="s">
        <v>410</v>
      </c>
      <c r="C78" s="829"/>
      <c r="D78" s="2225"/>
      <c r="E78" s="2540">
        <v>14937</v>
      </c>
      <c r="F78" s="2541">
        <f>(E78*30.126)/1000</f>
        <v>449.99206200000003</v>
      </c>
      <c r="G78" s="683"/>
      <c r="H78" s="677"/>
      <c r="I78" s="205"/>
      <c r="J78" s="204"/>
      <c r="K78" s="204"/>
      <c r="L78" s="204"/>
      <c r="M78" s="205"/>
      <c r="N78" s="204"/>
      <c r="O78" s="205"/>
      <c r="P78" s="1770"/>
      <c r="Q78" s="1306"/>
      <c r="R78" s="2556"/>
      <c r="S78" s="2282"/>
      <c r="T78" s="204"/>
      <c r="U78" s="205"/>
      <c r="V78" s="206"/>
    </row>
    <row r="79" ht="19.5" customHeight="1" thickBot="1"/>
    <row r="80" spans="1:22" s="23" customFormat="1" ht="39.75" customHeight="1" thickTop="1">
      <c r="A80" s="2884"/>
      <c r="B80" s="2885"/>
      <c r="C80" s="360" t="s">
        <v>506</v>
      </c>
      <c r="D80" s="2112" t="s">
        <v>507</v>
      </c>
      <c r="E80" s="2890" t="s">
        <v>184</v>
      </c>
      <c r="F80" s="2891"/>
      <c r="G80" s="1101" t="s">
        <v>510</v>
      </c>
      <c r="H80" s="1001" t="s">
        <v>510</v>
      </c>
      <c r="I80" s="826" t="s">
        <v>87</v>
      </c>
      <c r="J80" s="826" t="s">
        <v>87</v>
      </c>
      <c r="K80" s="2871" t="s">
        <v>509</v>
      </c>
      <c r="L80" s="2871"/>
      <c r="M80" s="2871" t="s">
        <v>508</v>
      </c>
      <c r="N80" s="2871"/>
      <c r="O80" s="824" t="s">
        <v>952</v>
      </c>
      <c r="P80" s="1579" t="s">
        <v>952</v>
      </c>
      <c r="Q80" s="2859" t="s">
        <v>183</v>
      </c>
      <c r="R80" s="2860"/>
      <c r="S80" s="2865" t="s">
        <v>725</v>
      </c>
      <c r="T80" s="2863"/>
      <c r="U80" s="2863" t="s">
        <v>726</v>
      </c>
      <c r="V80" s="2864"/>
    </row>
    <row r="81" spans="1:22" s="24" customFormat="1" ht="15" customHeight="1" thickBot="1">
      <c r="A81" s="2886"/>
      <c r="B81" s="2887"/>
      <c r="C81" s="347" t="s">
        <v>966</v>
      </c>
      <c r="D81" s="2304" t="s">
        <v>966</v>
      </c>
      <c r="E81" s="768" t="s">
        <v>435</v>
      </c>
      <c r="F81" s="307" t="s">
        <v>966</v>
      </c>
      <c r="G81" s="571" t="s">
        <v>435</v>
      </c>
      <c r="H81" s="238" t="s">
        <v>966</v>
      </c>
      <c r="I81" s="995" t="s">
        <v>435</v>
      </c>
      <c r="J81" s="995" t="s">
        <v>966</v>
      </c>
      <c r="K81" s="239" t="s">
        <v>435</v>
      </c>
      <c r="L81" s="239" t="s">
        <v>966</v>
      </c>
      <c r="M81" s="239" t="s">
        <v>435</v>
      </c>
      <c r="N81" s="239" t="s">
        <v>966</v>
      </c>
      <c r="O81" s="996" t="s">
        <v>435</v>
      </c>
      <c r="P81" s="1580" t="s">
        <v>966</v>
      </c>
      <c r="Q81" s="238" t="s">
        <v>435</v>
      </c>
      <c r="R81" s="993" t="s">
        <v>966</v>
      </c>
      <c r="S81" s="2117" t="s">
        <v>435</v>
      </c>
      <c r="T81" s="239" t="s">
        <v>966</v>
      </c>
      <c r="U81" s="239" t="s">
        <v>435</v>
      </c>
      <c r="V81" s="307" t="s">
        <v>966</v>
      </c>
    </row>
    <row r="82" spans="1:22" s="420" customFormat="1" ht="19.5" customHeight="1">
      <c r="A82" s="1776" t="s">
        <v>755</v>
      </c>
      <c r="B82" s="1012" t="s">
        <v>318</v>
      </c>
      <c r="C82" s="1013" t="e">
        <f>C85+C100</f>
        <v>#REF!</v>
      </c>
      <c r="D82" s="1507" t="e">
        <f aca="true" t="shared" si="33" ref="D82:N82">D85+D100</f>
        <v>#REF!</v>
      </c>
      <c r="E82" s="1018">
        <f t="shared" si="33"/>
        <v>41033</v>
      </c>
      <c r="F82" s="1017">
        <f t="shared" si="33"/>
        <v>1236.1601580000001</v>
      </c>
      <c r="G82" s="1102">
        <f t="shared" si="33"/>
        <v>126841</v>
      </c>
      <c r="H82" s="1015">
        <f t="shared" si="33"/>
        <v>3821.211966</v>
      </c>
      <c r="I82" s="1016">
        <f t="shared" si="33"/>
        <v>126841</v>
      </c>
      <c r="J82" s="1016">
        <f t="shared" si="33"/>
        <v>3821.211966</v>
      </c>
      <c r="K82" s="1016">
        <f t="shared" si="33"/>
        <v>41033</v>
      </c>
      <c r="L82" s="1016">
        <f t="shared" si="33"/>
        <v>1236.1601580000001</v>
      </c>
      <c r="M82" s="1016">
        <f t="shared" si="33"/>
        <v>91487</v>
      </c>
      <c r="N82" s="1016">
        <f t="shared" si="33"/>
        <v>2756.1373620000004</v>
      </c>
      <c r="O82" s="1016">
        <f aca="true" t="shared" si="34" ref="O82:V84">O85+O100</f>
        <v>126841</v>
      </c>
      <c r="P82" s="1507">
        <f t="shared" si="34"/>
        <v>3821.211966</v>
      </c>
      <c r="Q82" s="1015">
        <f t="shared" si="34"/>
        <v>142111</v>
      </c>
      <c r="R82" s="1014">
        <f t="shared" si="34"/>
        <v>4280.723986</v>
      </c>
      <c r="S82" s="1013">
        <f t="shared" si="34"/>
        <v>41033</v>
      </c>
      <c r="T82" s="1016">
        <f t="shared" si="34"/>
        <v>1236.1601580000001</v>
      </c>
      <c r="U82" s="1016">
        <f t="shared" si="34"/>
        <v>91487</v>
      </c>
      <c r="V82" s="1017">
        <f t="shared" si="34"/>
        <v>2756.1373620000004</v>
      </c>
    </row>
    <row r="83" spans="1:22" s="30" customFormat="1" ht="15" customHeight="1">
      <c r="A83" s="1020"/>
      <c r="B83" s="1021" t="s">
        <v>7</v>
      </c>
      <c r="C83" s="1022" t="e">
        <f>C86+C101</f>
        <v>#REF!</v>
      </c>
      <c r="D83" s="1508" t="e">
        <f aca="true" t="shared" si="35" ref="D83:N83">D86+D101</f>
        <v>#REF!</v>
      </c>
      <c r="E83" s="1027">
        <f t="shared" si="35"/>
        <v>33533</v>
      </c>
      <c r="F83" s="1026">
        <f t="shared" si="35"/>
        <v>1010.2151580000002</v>
      </c>
      <c r="G83" s="369">
        <f t="shared" si="35"/>
        <v>75277</v>
      </c>
      <c r="H83" s="1024">
        <f t="shared" si="35"/>
        <v>2267.794902</v>
      </c>
      <c r="I83" s="1025">
        <f t="shared" si="35"/>
        <v>75277</v>
      </c>
      <c r="J83" s="1025">
        <f t="shared" si="35"/>
        <v>2267.794902</v>
      </c>
      <c r="K83" s="1025">
        <f t="shared" si="35"/>
        <v>33533</v>
      </c>
      <c r="L83" s="1025">
        <f t="shared" si="35"/>
        <v>1010.2151580000002</v>
      </c>
      <c r="M83" s="1025">
        <f t="shared" si="35"/>
        <v>64071</v>
      </c>
      <c r="N83" s="1025">
        <f t="shared" si="35"/>
        <v>1930.202946</v>
      </c>
      <c r="O83" s="1025">
        <f t="shared" si="34"/>
        <v>75277</v>
      </c>
      <c r="P83" s="1508">
        <f t="shared" si="34"/>
        <v>2267.794902</v>
      </c>
      <c r="Q83" s="1024">
        <f t="shared" si="34"/>
        <v>100237</v>
      </c>
      <c r="R83" s="1023">
        <f t="shared" si="34"/>
        <v>3019.739862</v>
      </c>
      <c r="S83" s="1022">
        <f t="shared" si="34"/>
        <v>33533</v>
      </c>
      <c r="T83" s="1025">
        <f t="shared" si="34"/>
        <v>1010.2151580000002</v>
      </c>
      <c r="U83" s="1025">
        <f t="shared" si="34"/>
        <v>64071</v>
      </c>
      <c r="V83" s="1026">
        <f t="shared" si="34"/>
        <v>1930.202946</v>
      </c>
    </row>
    <row r="84" spans="1:22" s="49" customFormat="1" ht="15" customHeight="1">
      <c r="A84" s="1029"/>
      <c r="B84" s="1030" t="s">
        <v>8</v>
      </c>
      <c r="C84" s="1031" t="e">
        <f>C87+C102</f>
        <v>#REF!</v>
      </c>
      <c r="D84" s="1509" t="e">
        <f aca="true" t="shared" si="36" ref="D84:N84">D87+D102</f>
        <v>#REF!</v>
      </c>
      <c r="E84" s="1036">
        <f t="shared" si="36"/>
        <v>7500</v>
      </c>
      <c r="F84" s="1035">
        <f t="shared" si="36"/>
        <v>225.945</v>
      </c>
      <c r="G84" s="1082">
        <f t="shared" si="36"/>
        <v>51564</v>
      </c>
      <c r="H84" s="1033">
        <f t="shared" si="36"/>
        <v>1553.417064</v>
      </c>
      <c r="I84" s="1034">
        <f t="shared" si="36"/>
        <v>51564</v>
      </c>
      <c r="J84" s="1034">
        <f t="shared" si="36"/>
        <v>1553.417064</v>
      </c>
      <c r="K84" s="1034">
        <f t="shared" si="36"/>
        <v>7500</v>
      </c>
      <c r="L84" s="1034">
        <f t="shared" si="36"/>
        <v>225.945</v>
      </c>
      <c r="M84" s="1034">
        <f t="shared" si="36"/>
        <v>27416</v>
      </c>
      <c r="N84" s="1034">
        <f t="shared" si="36"/>
        <v>825.934416</v>
      </c>
      <c r="O84" s="1034">
        <f t="shared" si="34"/>
        <v>51564</v>
      </c>
      <c r="P84" s="1509">
        <f t="shared" si="34"/>
        <v>1553.417064</v>
      </c>
      <c r="Q84" s="1033">
        <f t="shared" si="34"/>
        <v>41874</v>
      </c>
      <c r="R84" s="1032">
        <f t="shared" si="34"/>
        <v>1721.008144</v>
      </c>
      <c r="S84" s="1031">
        <f t="shared" si="34"/>
        <v>7500</v>
      </c>
      <c r="T84" s="1034">
        <f t="shared" si="34"/>
        <v>225.945</v>
      </c>
      <c r="U84" s="1034">
        <f t="shared" si="34"/>
        <v>27416</v>
      </c>
      <c r="V84" s="1035">
        <f t="shared" si="34"/>
        <v>825.934416</v>
      </c>
    </row>
    <row r="85" spans="1:22" s="49" customFormat="1" ht="15" customHeight="1">
      <c r="A85" s="1038"/>
      <c r="B85" s="1039" t="s">
        <v>965</v>
      </c>
      <c r="C85" s="1040">
        <f>C88+C94+C97</f>
        <v>915</v>
      </c>
      <c r="D85" s="1510">
        <f aca="true" t="shared" si="37" ref="D85:N85">D88+D94+D97</f>
        <v>2867</v>
      </c>
      <c r="E85" s="1045">
        <f t="shared" si="37"/>
        <v>41033</v>
      </c>
      <c r="F85" s="1044">
        <f t="shared" si="37"/>
        <v>1236.1601580000001</v>
      </c>
      <c r="G85" s="1083">
        <f t="shared" si="37"/>
        <v>106427</v>
      </c>
      <c r="H85" s="1042">
        <f t="shared" si="37"/>
        <v>3206.219802</v>
      </c>
      <c r="I85" s="1043">
        <f t="shared" si="37"/>
        <v>106427</v>
      </c>
      <c r="J85" s="1043">
        <f t="shared" si="37"/>
        <v>3206.219802</v>
      </c>
      <c r="K85" s="1043">
        <f t="shared" si="37"/>
        <v>41033</v>
      </c>
      <c r="L85" s="1043">
        <f t="shared" si="37"/>
        <v>1236.1601580000001</v>
      </c>
      <c r="M85" s="1043">
        <f t="shared" si="37"/>
        <v>91487</v>
      </c>
      <c r="N85" s="1043">
        <f t="shared" si="37"/>
        <v>2756.1373620000004</v>
      </c>
      <c r="O85" s="1043">
        <f aca="true" t="shared" si="38" ref="O85:P87">O88+O94+O97</f>
        <v>106427</v>
      </c>
      <c r="P85" s="1510">
        <f t="shared" si="38"/>
        <v>3206.219802</v>
      </c>
      <c r="Q85" s="1042">
        <f>Q88+Q94+Q97+Q91</f>
        <v>121697</v>
      </c>
      <c r="R85" s="1041">
        <f>R88+R94+R97+R91</f>
        <v>3665.731822</v>
      </c>
      <c r="S85" s="1040">
        <f aca="true" t="shared" si="39" ref="S85:V87">S88+S94+S97</f>
        <v>41033</v>
      </c>
      <c r="T85" s="1043">
        <f t="shared" si="39"/>
        <v>1236.1601580000001</v>
      </c>
      <c r="U85" s="1043">
        <f t="shared" si="39"/>
        <v>91487</v>
      </c>
      <c r="V85" s="1044">
        <f t="shared" si="39"/>
        <v>2756.1373620000004</v>
      </c>
    </row>
    <row r="86" spans="1:22" s="30" customFormat="1" ht="15" customHeight="1">
      <c r="A86" s="1020"/>
      <c r="B86" s="1021" t="s">
        <v>7</v>
      </c>
      <c r="C86" s="1022">
        <f>C89+C95+C98</f>
        <v>0</v>
      </c>
      <c r="D86" s="1508">
        <f aca="true" t="shared" si="40" ref="D86:N86">D89+D95+D98</f>
        <v>0</v>
      </c>
      <c r="E86" s="1027">
        <f t="shared" si="40"/>
        <v>33533</v>
      </c>
      <c r="F86" s="1026">
        <f t="shared" si="40"/>
        <v>1010.2151580000002</v>
      </c>
      <c r="G86" s="369">
        <f t="shared" si="40"/>
        <v>64821</v>
      </c>
      <c r="H86" s="1024">
        <f t="shared" si="40"/>
        <v>1952.797446</v>
      </c>
      <c r="I86" s="1025">
        <f t="shared" si="40"/>
        <v>64821</v>
      </c>
      <c r="J86" s="1025">
        <f t="shared" si="40"/>
        <v>1952.797446</v>
      </c>
      <c r="K86" s="1025">
        <f t="shared" si="40"/>
        <v>33533</v>
      </c>
      <c r="L86" s="1025">
        <f t="shared" si="40"/>
        <v>1010.2151580000002</v>
      </c>
      <c r="M86" s="1025">
        <f t="shared" si="40"/>
        <v>64071</v>
      </c>
      <c r="N86" s="1025">
        <f t="shared" si="40"/>
        <v>1930.202946</v>
      </c>
      <c r="O86" s="1025">
        <f t="shared" si="38"/>
        <v>64821</v>
      </c>
      <c r="P86" s="1508">
        <f t="shared" si="38"/>
        <v>1952.797446</v>
      </c>
      <c r="Q86" s="1024">
        <f>Q89+Q95+Q98+Q92</f>
        <v>89781</v>
      </c>
      <c r="R86" s="1023">
        <f>R89+R95+R98+R92</f>
        <v>2704.742406</v>
      </c>
      <c r="S86" s="1022">
        <f t="shared" si="39"/>
        <v>33533</v>
      </c>
      <c r="T86" s="1025">
        <f t="shared" si="39"/>
        <v>1010.2151580000002</v>
      </c>
      <c r="U86" s="1025">
        <f t="shared" si="39"/>
        <v>64071</v>
      </c>
      <c r="V86" s="1026">
        <f t="shared" si="39"/>
        <v>1930.202946</v>
      </c>
    </row>
    <row r="87" spans="1:22" s="49" customFormat="1" ht="15" customHeight="1">
      <c r="A87" s="1047"/>
      <c r="B87" s="1048" t="s">
        <v>8</v>
      </c>
      <c r="C87" s="1049">
        <f>C90+C96+C99</f>
        <v>0</v>
      </c>
      <c r="D87" s="1511">
        <f aca="true" t="shared" si="41" ref="D87:N87">D90+D96+D99</f>
        <v>0</v>
      </c>
      <c r="E87" s="1054">
        <f t="shared" si="41"/>
        <v>7500</v>
      </c>
      <c r="F87" s="1053">
        <f t="shared" si="41"/>
        <v>225.945</v>
      </c>
      <c r="G87" s="1084">
        <f t="shared" si="41"/>
        <v>41606</v>
      </c>
      <c r="H87" s="1051">
        <f t="shared" si="41"/>
        <v>1253.422356</v>
      </c>
      <c r="I87" s="1052">
        <f t="shared" si="41"/>
        <v>41606</v>
      </c>
      <c r="J87" s="1052">
        <f t="shared" si="41"/>
        <v>1253.422356</v>
      </c>
      <c r="K87" s="1052">
        <f t="shared" si="41"/>
        <v>7500</v>
      </c>
      <c r="L87" s="1052">
        <f t="shared" si="41"/>
        <v>225.945</v>
      </c>
      <c r="M87" s="1052">
        <f t="shared" si="41"/>
        <v>27416</v>
      </c>
      <c r="N87" s="1052">
        <f t="shared" si="41"/>
        <v>825.934416</v>
      </c>
      <c r="O87" s="1052">
        <f t="shared" si="38"/>
        <v>41606</v>
      </c>
      <c r="P87" s="1511">
        <f t="shared" si="38"/>
        <v>1253.422356</v>
      </c>
      <c r="Q87" s="1051">
        <f>Q90+Q96+Q99+Q93</f>
        <v>31916</v>
      </c>
      <c r="R87" s="1050">
        <f>R90+R96+R99+R91</f>
        <v>1421.013436</v>
      </c>
      <c r="S87" s="1049">
        <f t="shared" si="39"/>
        <v>7500</v>
      </c>
      <c r="T87" s="1052">
        <f t="shared" si="39"/>
        <v>225.945</v>
      </c>
      <c r="U87" s="1052">
        <f t="shared" si="39"/>
        <v>27416</v>
      </c>
      <c r="V87" s="1053">
        <f t="shared" si="39"/>
        <v>825.934416</v>
      </c>
    </row>
    <row r="88" spans="1:22" s="65" customFormat="1" ht="15" customHeight="1">
      <c r="A88" s="1117"/>
      <c r="B88" s="1104" t="s">
        <v>5</v>
      </c>
      <c r="C88" s="1307">
        <f aca="true" t="shared" si="42" ref="C88:H88">SUM(C89:C90)</f>
        <v>0</v>
      </c>
      <c r="D88" s="1761">
        <f t="shared" si="42"/>
        <v>0</v>
      </c>
      <c r="E88" s="2542">
        <f t="shared" si="42"/>
        <v>0</v>
      </c>
      <c r="F88" s="1312">
        <f t="shared" si="42"/>
        <v>0</v>
      </c>
      <c r="G88" s="1310">
        <f t="shared" si="42"/>
        <v>14940</v>
      </c>
      <c r="H88" s="1309">
        <f t="shared" si="42"/>
        <v>450.08243999999996</v>
      </c>
      <c r="I88" s="1311">
        <f aca="true" t="shared" si="43" ref="I88:N88">SUM(I89:I90)</f>
        <v>14940</v>
      </c>
      <c r="J88" s="1311">
        <f t="shared" si="43"/>
        <v>450.08243999999996</v>
      </c>
      <c r="K88" s="1311">
        <f t="shared" si="43"/>
        <v>0</v>
      </c>
      <c r="L88" s="1311">
        <f t="shared" si="43"/>
        <v>0</v>
      </c>
      <c r="M88" s="1311">
        <f t="shared" si="43"/>
        <v>0</v>
      </c>
      <c r="N88" s="1311">
        <f t="shared" si="43"/>
        <v>0</v>
      </c>
      <c r="O88" s="1311">
        <f aca="true" t="shared" si="44" ref="O88:V88">SUM(O89:O90)</f>
        <v>14940</v>
      </c>
      <c r="P88" s="1761">
        <f t="shared" si="44"/>
        <v>450.08243999999996</v>
      </c>
      <c r="Q88" s="1309">
        <f t="shared" si="44"/>
        <v>14940</v>
      </c>
      <c r="R88" s="1308">
        <f t="shared" si="44"/>
        <v>450.08244</v>
      </c>
      <c r="S88" s="1307">
        <f t="shared" si="44"/>
        <v>0</v>
      </c>
      <c r="T88" s="1311">
        <f t="shared" si="44"/>
        <v>0</v>
      </c>
      <c r="U88" s="1311">
        <f t="shared" si="44"/>
        <v>0</v>
      </c>
      <c r="V88" s="1312">
        <f t="shared" si="44"/>
        <v>0</v>
      </c>
    </row>
    <row r="89" spans="1:22" s="6" customFormat="1" ht="15" customHeight="1">
      <c r="A89" s="140"/>
      <c r="B89" s="834" t="s">
        <v>340</v>
      </c>
      <c r="C89" s="803"/>
      <c r="D89" s="1524"/>
      <c r="E89" s="2534"/>
      <c r="F89" s="139"/>
      <c r="G89" s="1313">
        <v>750</v>
      </c>
      <c r="H89" s="35">
        <f>G89*30.126/1000</f>
        <v>22.5945</v>
      </c>
      <c r="I89" s="79">
        <v>750</v>
      </c>
      <c r="J89" s="9">
        <f>I89*30.126/1000</f>
        <v>22.5945</v>
      </c>
      <c r="K89" s="79"/>
      <c r="L89" s="79"/>
      <c r="M89" s="79"/>
      <c r="N89" s="79"/>
      <c r="O89" s="79">
        <v>750</v>
      </c>
      <c r="P89" s="382">
        <f>O89*30.126/1000</f>
        <v>22.5945</v>
      </c>
      <c r="Q89" s="1301">
        <v>14940</v>
      </c>
      <c r="R89" s="8">
        <f>Q89*30.126/1000</f>
        <v>450.08244</v>
      </c>
      <c r="S89" s="2549"/>
      <c r="T89" s="9"/>
      <c r="U89" s="79"/>
      <c r="V89" s="139"/>
    </row>
    <row r="90" spans="1:22" s="381" customFormat="1" ht="15" customHeight="1">
      <c r="A90" s="1314"/>
      <c r="B90" s="1065" t="s">
        <v>341</v>
      </c>
      <c r="C90" s="1315"/>
      <c r="D90" s="2528"/>
      <c r="E90" s="2543"/>
      <c r="F90" s="1140"/>
      <c r="G90" s="1317">
        <v>14190</v>
      </c>
      <c r="H90" s="1316">
        <f>G90*30.126/1000</f>
        <v>427.48794</v>
      </c>
      <c r="I90" s="1318">
        <v>14190</v>
      </c>
      <c r="J90" s="1318">
        <f>I90*30.126/1000</f>
        <v>427.48794</v>
      </c>
      <c r="K90" s="1318"/>
      <c r="L90" s="1318"/>
      <c r="M90" s="1318"/>
      <c r="N90" s="1318"/>
      <c r="O90" s="1318">
        <v>14190</v>
      </c>
      <c r="P90" s="1762">
        <f>O90*30.126/1000</f>
        <v>427.48794</v>
      </c>
      <c r="Q90" s="1316">
        <v>0</v>
      </c>
      <c r="R90" s="1113">
        <f>Q90*30.126/1000</f>
        <v>0</v>
      </c>
      <c r="S90" s="2550"/>
      <c r="T90" s="1318"/>
      <c r="U90" s="1318"/>
      <c r="V90" s="1319"/>
    </row>
    <row r="91" spans="1:22" s="65" customFormat="1" ht="15" customHeight="1">
      <c r="A91" s="1117"/>
      <c r="B91" s="1104" t="s">
        <v>159</v>
      </c>
      <c r="C91" s="2655"/>
      <c r="D91" s="1645"/>
      <c r="E91" s="2542"/>
      <c r="F91" s="965"/>
      <c r="G91" s="1310"/>
      <c r="H91" s="1309"/>
      <c r="I91" s="1311"/>
      <c r="J91" s="1311"/>
      <c r="K91" s="1311"/>
      <c r="L91" s="1311"/>
      <c r="M91" s="1311"/>
      <c r="N91" s="1311"/>
      <c r="O91" s="1311"/>
      <c r="P91" s="1761"/>
      <c r="Q91" s="1309">
        <f>SUM(Q92:Q93)</f>
        <v>15270</v>
      </c>
      <c r="R91" s="1308">
        <f>SUM(R92:R93)</f>
        <v>460.02402</v>
      </c>
      <c r="S91" s="1307"/>
      <c r="T91" s="1311"/>
      <c r="U91" s="1311"/>
      <c r="V91" s="1312"/>
    </row>
    <row r="92" spans="1:22" s="6" customFormat="1" ht="15" customHeight="1">
      <c r="A92" s="140"/>
      <c r="B92" s="834" t="s">
        <v>340</v>
      </c>
      <c r="C92" s="803"/>
      <c r="D92" s="1524"/>
      <c r="E92" s="2534"/>
      <c r="F92" s="139"/>
      <c r="G92" s="1313">
        <v>750</v>
      </c>
      <c r="H92" s="35">
        <f>G92*30.126/1000</f>
        <v>22.5945</v>
      </c>
      <c r="I92" s="79">
        <v>750</v>
      </c>
      <c r="J92" s="9">
        <f>I92*30.126/1000</f>
        <v>22.5945</v>
      </c>
      <c r="K92" s="79"/>
      <c r="L92" s="79"/>
      <c r="M92" s="79"/>
      <c r="N92" s="79"/>
      <c r="O92" s="79">
        <v>750</v>
      </c>
      <c r="P92" s="382">
        <f>O92*30.126/1000</f>
        <v>22.5945</v>
      </c>
      <c r="Q92" s="1301">
        <v>15270</v>
      </c>
      <c r="R92" s="8">
        <f>Q92*30.126/1000</f>
        <v>460.02402</v>
      </c>
      <c r="S92" s="2549"/>
      <c r="T92" s="9"/>
      <c r="U92" s="79"/>
      <c r="V92" s="139"/>
    </row>
    <row r="93" spans="1:22" s="381" customFormat="1" ht="15" customHeight="1">
      <c r="A93" s="1314"/>
      <c r="B93" s="1065" t="s">
        <v>341</v>
      </c>
      <c r="C93" s="1315"/>
      <c r="D93" s="2528"/>
      <c r="E93" s="2543"/>
      <c r="F93" s="1140"/>
      <c r="G93" s="1317">
        <v>14190</v>
      </c>
      <c r="H93" s="1316">
        <f>G93*30.126/1000</f>
        <v>427.48794</v>
      </c>
      <c r="I93" s="1318">
        <v>14190</v>
      </c>
      <c r="J93" s="1318">
        <f>I93*30.126/1000</f>
        <v>427.48794</v>
      </c>
      <c r="K93" s="1318"/>
      <c r="L93" s="1318"/>
      <c r="M93" s="1318"/>
      <c r="N93" s="1318"/>
      <c r="O93" s="1318">
        <v>14190</v>
      </c>
      <c r="P93" s="1762">
        <f>O93*30.126/1000</f>
        <v>427.48794</v>
      </c>
      <c r="Q93" s="1316">
        <v>0</v>
      </c>
      <c r="R93" s="1113">
        <f>Q93*30.126/1000</f>
        <v>0</v>
      </c>
      <c r="S93" s="2550"/>
      <c r="T93" s="1318"/>
      <c r="U93" s="1318"/>
      <c r="V93" s="1319"/>
    </row>
    <row r="94" spans="1:22" s="65" customFormat="1" ht="15" customHeight="1">
      <c r="A94" s="1117"/>
      <c r="B94" s="1104" t="s">
        <v>4</v>
      </c>
      <c r="C94" s="1320">
        <v>804</v>
      </c>
      <c r="D94" s="2529">
        <v>1177</v>
      </c>
      <c r="E94" s="2542">
        <f>SUM(E95:E96)</f>
        <v>38377</v>
      </c>
      <c r="F94" s="1312">
        <f>SUM(F95:F96)</f>
        <v>1156.145502</v>
      </c>
      <c r="G94" s="1310">
        <f aca="true" t="shared" si="45" ref="G94:N94">SUM(G95:G96)</f>
        <v>38377</v>
      </c>
      <c r="H94" s="1309">
        <f t="shared" si="45"/>
        <v>1156.145502</v>
      </c>
      <c r="I94" s="1311">
        <f t="shared" si="45"/>
        <v>38377</v>
      </c>
      <c r="J94" s="1311">
        <f t="shared" si="45"/>
        <v>1156.145502</v>
      </c>
      <c r="K94" s="1311">
        <f t="shared" si="45"/>
        <v>38377</v>
      </c>
      <c r="L94" s="1311">
        <f t="shared" si="45"/>
        <v>1156.145502</v>
      </c>
      <c r="M94" s="1311">
        <f t="shared" si="45"/>
        <v>38377</v>
      </c>
      <c r="N94" s="1311">
        <f t="shared" si="45"/>
        <v>1156.145502</v>
      </c>
      <c r="O94" s="1311">
        <f aca="true" t="shared" si="46" ref="O94:V94">SUM(O95:O96)</f>
        <v>38377</v>
      </c>
      <c r="P94" s="1761">
        <f t="shared" si="46"/>
        <v>1156.145502</v>
      </c>
      <c r="Q94" s="1309">
        <f t="shared" si="46"/>
        <v>38377</v>
      </c>
      <c r="R94" s="1308">
        <f t="shared" si="46"/>
        <v>1155.6335020000001</v>
      </c>
      <c r="S94" s="1307">
        <f t="shared" si="46"/>
        <v>38377</v>
      </c>
      <c r="T94" s="1311">
        <f t="shared" si="46"/>
        <v>1156.145502</v>
      </c>
      <c r="U94" s="1311">
        <f t="shared" si="46"/>
        <v>38377</v>
      </c>
      <c r="V94" s="1312">
        <f t="shared" si="46"/>
        <v>1156.145502</v>
      </c>
    </row>
    <row r="95" spans="1:22" s="6" customFormat="1" ht="15" customHeight="1">
      <c r="A95" s="196"/>
      <c r="B95" s="834" t="s">
        <v>340</v>
      </c>
      <c r="C95" s="803"/>
      <c r="D95" s="1524"/>
      <c r="E95" s="2534">
        <v>30877</v>
      </c>
      <c r="F95" s="195">
        <f>(E95*30.126)/1000</f>
        <v>930.2005020000001</v>
      </c>
      <c r="G95" s="1313">
        <v>30877</v>
      </c>
      <c r="H95" s="1301">
        <f>G95*30.126/1000</f>
        <v>930.2005020000001</v>
      </c>
      <c r="I95" s="79">
        <v>30877</v>
      </c>
      <c r="J95" s="79">
        <f>I95*30.126/1000</f>
        <v>930.2005020000001</v>
      </c>
      <c r="K95" s="79">
        <v>30877</v>
      </c>
      <c r="L95" s="79">
        <f>K95*30.126/1000</f>
        <v>930.2005020000001</v>
      </c>
      <c r="M95" s="79">
        <v>30877</v>
      </c>
      <c r="N95" s="79">
        <f>M95*30.126/1000</f>
        <v>930.2005020000001</v>
      </c>
      <c r="O95" s="79">
        <v>30877</v>
      </c>
      <c r="P95" s="1763">
        <f>O95*30.126/1000</f>
        <v>930.2005020000001</v>
      </c>
      <c r="Q95" s="1301">
        <v>26377</v>
      </c>
      <c r="R95" s="1302">
        <f>Q95*30.126/1000</f>
        <v>794.633502</v>
      </c>
      <c r="S95" s="2549">
        <v>30877</v>
      </c>
      <c r="T95" s="79">
        <f>S95*30.126/1000</f>
        <v>930.2005020000001</v>
      </c>
      <c r="U95" s="79">
        <v>30877</v>
      </c>
      <c r="V95" s="195">
        <f>U95*30.126/1000</f>
        <v>930.2005020000001</v>
      </c>
    </row>
    <row r="96" spans="1:22" s="11" customFormat="1" ht="15" customHeight="1">
      <c r="A96" s="1133"/>
      <c r="B96" s="1065" t="s">
        <v>341</v>
      </c>
      <c r="C96" s="1237"/>
      <c r="D96" s="2530"/>
      <c r="E96" s="2544">
        <v>7500</v>
      </c>
      <c r="F96" s="1325">
        <f>(E96*30.126)/1000</f>
        <v>225.945</v>
      </c>
      <c r="G96" s="1323">
        <v>7500</v>
      </c>
      <c r="H96" s="1321">
        <f>G96*30.126/1000</f>
        <v>225.945</v>
      </c>
      <c r="I96" s="1324">
        <v>7500</v>
      </c>
      <c r="J96" s="1324">
        <f>I96*30.126/1000</f>
        <v>225.945</v>
      </c>
      <c r="K96" s="1324">
        <v>7500</v>
      </c>
      <c r="L96" s="1324">
        <f>K96*30.126/1000</f>
        <v>225.945</v>
      </c>
      <c r="M96" s="1324">
        <v>7500</v>
      </c>
      <c r="N96" s="1324">
        <f>M96*30.126/1000</f>
        <v>225.945</v>
      </c>
      <c r="O96" s="1324">
        <v>7500</v>
      </c>
      <c r="P96" s="1764">
        <f>O96*30.126/1000</f>
        <v>225.945</v>
      </c>
      <c r="Q96" s="1321">
        <v>12000</v>
      </c>
      <c r="R96" s="1322">
        <v>361</v>
      </c>
      <c r="S96" s="2551">
        <v>7500</v>
      </c>
      <c r="T96" s="1324">
        <f>S96*30.126/1000</f>
        <v>225.945</v>
      </c>
      <c r="U96" s="1324">
        <v>7500</v>
      </c>
      <c r="V96" s="1325">
        <f>U96*30.126/1000</f>
        <v>225.945</v>
      </c>
    </row>
    <row r="97" spans="1:22" s="65" customFormat="1" ht="15" customHeight="1">
      <c r="A97" s="1117"/>
      <c r="B97" s="1104" t="s">
        <v>3</v>
      </c>
      <c r="C97" s="1320">
        <v>111</v>
      </c>
      <c r="D97" s="2529">
        <v>1690</v>
      </c>
      <c r="E97" s="2542">
        <f>SUM(E98:E99)</f>
        <v>2656</v>
      </c>
      <c r="F97" s="1312">
        <f>SUM(F98:F99)</f>
        <v>80.014656</v>
      </c>
      <c r="G97" s="1310">
        <f>SUM(G98:G99)</f>
        <v>53110</v>
      </c>
      <c r="H97" s="1309">
        <f aca="true" t="shared" si="47" ref="H97:N97">SUM(H98:H99)</f>
        <v>1599.99186</v>
      </c>
      <c r="I97" s="1311">
        <f t="shared" si="47"/>
        <v>53110</v>
      </c>
      <c r="J97" s="1311">
        <f t="shared" si="47"/>
        <v>1599.99186</v>
      </c>
      <c r="K97" s="1311">
        <f t="shared" si="47"/>
        <v>2656</v>
      </c>
      <c r="L97" s="1311">
        <f t="shared" si="47"/>
        <v>80.014656</v>
      </c>
      <c r="M97" s="1311">
        <f t="shared" si="47"/>
        <v>53110</v>
      </c>
      <c r="N97" s="1311">
        <f t="shared" si="47"/>
        <v>1599.99186</v>
      </c>
      <c r="O97" s="1311">
        <f aca="true" t="shared" si="48" ref="O97:V97">SUM(O98:O99)</f>
        <v>53110</v>
      </c>
      <c r="P97" s="1761">
        <f t="shared" si="48"/>
        <v>1599.99186</v>
      </c>
      <c r="Q97" s="1309">
        <f t="shared" si="48"/>
        <v>53110</v>
      </c>
      <c r="R97" s="1308">
        <f t="shared" si="48"/>
        <v>1599.99186</v>
      </c>
      <c r="S97" s="1307">
        <f t="shared" si="48"/>
        <v>2656</v>
      </c>
      <c r="T97" s="1311">
        <f t="shared" si="48"/>
        <v>80.014656</v>
      </c>
      <c r="U97" s="1311">
        <f t="shared" si="48"/>
        <v>53110</v>
      </c>
      <c r="V97" s="1312">
        <f t="shared" si="48"/>
        <v>1599.99186</v>
      </c>
    </row>
    <row r="98" spans="1:22" s="6" customFormat="1" ht="15" customHeight="1">
      <c r="A98" s="140"/>
      <c r="B98" s="834" t="s">
        <v>340</v>
      </c>
      <c r="C98" s="803"/>
      <c r="D98" s="1524"/>
      <c r="E98" s="2535">
        <v>2656</v>
      </c>
      <c r="F98" s="195">
        <f>E98*30.126/1000</f>
        <v>80.014656</v>
      </c>
      <c r="G98" s="1326">
        <v>33194</v>
      </c>
      <c r="H98" s="1303">
        <f>G98*30.126/1000</f>
        <v>1000.002444</v>
      </c>
      <c r="I98" s="81">
        <v>33194</v>
      </c>
      <c r="J98" s="81">
        <f>I98*30.126/1000</f>
        <v>1000.002444</v>
      </c>
      <c r="K98" s="81">
        <v>2656</v>
      </c>
      <c r="L98" s="81">
        <f>K98*30.126/1000</f>
        <v>80.014656</v>
      </c>
      <c r="M98" s="81">
        <v>33194</v>
      </c>
      <c r="N98" s="81">
        <f>M98*30.126/1000</f>
        <v>1000.002444</v>
      </c>
      <c r="O98" s="81">
        <v>33194</v>
      </c>
      <c r="P98" s="1765">
        <f>O98*30.126/1000</f>
        <v>1000.002444</v>
      </c>
      <c r="Q98" s="1303">
        <v>33194</v>
      </c>
      <c r="R98" s="80">
        <f>Q98*30.126/1000</f>
        <v>1000.002444</v>
      </c>
      <c r="S98" s="889">
        <v>2656</v>
      </c>
      <c r="T98" s="81">
        <f>S98*30.126/1000</f>
        <v>80.014656</v>
      </c>
      <c r="U98" s="81">
        <v>33194</v>
      </c>
      <c r="V98" s="1327">
        <f>U98*30.126/1000</f>
        <v>1000.002444</v>
      </c>
    </row>
    <row r="99" spans="1:22" s="11" customFormat="1" ht="15" customHeight="1">
      <c r="A99" s="1142"/>
      <c r="B99" s="1065" t="s">
        <v>341</v>
      </c>
      <c r="C99" s="1237"/>
      <c r="D99" s="2530"/>
      <c r="E99" s="2545"/>
      <c r="F99" s="195"/>
      <c r="G99" s="1323">
        <v>19916</v>
      </c>
      <c r="H99" s="1328">
        <f>G99*30.126/1000</f>
        <v>599.989416</v>
      </c>
      <c r="I99" s="1324">
        <v>19916</v>
      </c>
      <c r="J99" s="1329">
        <f>I99*30.126/1000</f>
        <v>599.989416</v>
      </c>
      <c r="K99" s="1324">
        <v>0</v>
      </c>
      <c r="L99" s="1324">
        <v>0</v>
      </c>
      <c r="M99" s="1330">
        <v>19916</v>
      </c>
      <c r="N99" s="1329">
        <f>M99*30.126/1000</f>
        <v>599.989416</v>
      </c>
      <c r="O99" s="1324">
        <v>19916</v>
      </c>
      <c r="P99" s="1766">
        <f>O99*30.126/1000</f>
        <v>599.989416</v>
      </c>
      <c r="Q99" s="1321">
        <v>19916</v>
      </c>
      <c r="R99" s="2554">
        <f>Q99*30.126/1000</f>
        <v>599.989416</v>
      </c>
      <c r="S99" s="2551">
        <v>0</v>
      </c>
      <c r="T99" s="1329">
        <v>0</v>
      </c>
      <c r="U99" s="1324">
        <v>19916</v>
      </c>
      <c r="V99" s="1331">
        <f>U99*30.126/1000</f>
        <v>599.989416</v>
      </c>
    </row>
    <row r="100" spans="1:22" s="49" customFormat="1" ht="15" customHeight="1">
      <c r="A100" s="1038"/>
      <c r="B100" s="1039" t="s">
        <v>967</v>
      </c>
      <c r="C100" s="1040" t="e">
        <f>C103+#REF!+#REF!</f>
        <v>#REF!</v>
      </c>
      <c r="D100" s="1510" t="e">
        <f>D103+#REF!+#REF!</f>
        <v>#REF!</v>
      </c>
      <c r="E100" s="1045">
        <f>E103</f>
        <v>0</v>
      </c>
      <c r="F100" s="1044">
        <f aca="true" t="shared" si="49" ref="F100:V100">F103</f>
        <v>0</v>
      </c>
      <c r="G100" s="1040">
        <f t="shared" si="49"/>
        <v>20414</v>
      </c>
      <c r="H100" s="1042">
        <f t="shared" si="49"/>
        <v>614.992164</v>
      </c>
      <c r="I100" s="1042">
        <f t="shared" si="49"/>
        <v>20414</v>
      </c>
      <c r="J100" s="1042">
        <f t="shared" si="49"/>
        <v>614.992164</v>
      </c>
      <c r="K100" s="1042">
        <f t="shared" si="49"/>
        <v>0</v>
      </c>
      <c r="L100" s="1042">
        <f t="shared" si="49"/>
        <v>0</v>
      </c>
      <c r="M100" s="1042">
        <f t="shared" si="49"/>
        <v>0</v>
      </c>
      <c r="N100" s="1042">
        <f t="shared" si="49"/>
        <v>0</v>
      </c>
      <c r="O100" s="1042">
        <f t="shared" si="49"/>
        <v>20414</v>
      </c>
      <c r="P100" s="1654">
        <f t="shared" si="49"/>
        <v>614.992164</v>
      </c>
      <c r="Q100" s="1042">
        <f t="shared" si="49"/>
        <v>20414</v>
      </c>
      <c r="R100" s="1041">
        <f t="shared" si="49"/>
        <v>614.992164</v>
      </c>
      <c r="S100" s="1040">
        <f t="shared" si="49"/>
        <v>0</v>
      </c>
      <c r="T100" s="1043">
        <f t="shared" si="49"/>
        <v>0</v>
      </c>
      <c r="U100" s="1043">
        <f t="shared" si="49"/>
        <v>0</v>
      </c>
      <c r="V100" s="1044">
        <f t="shared" si="49"/>
        <v>0</v>
      </c>
    </row>
    <row r="101" spans="1:22" s="30" customFormat="1" ht="15" customHeight="1">
      <c r="A101" s="1020"/>
      <c r="B101" s="1021" t="s">
        <v>7</v>
      </c>
      <c r="C101" s="1022" t="e">
        <f>C104+#REF!+#REF!</f>
        <v>#REF!</v>
      </c>
      <c r="D101" s="1508" t="e">
        <f>D104+#REF!+#REF!</f>
        <v>#REF!</v>
      </c>
      <c r="E101" s="1027">
        <f>E104</f>
        <v>0</v>
      </c>
      <c r="F101" s="1026">
        <f aca="true" t="shared" si="50" ref="F101:V101">F104</f>
        <v>0</v>
      </c>
      <c r="G101" s="1022">
        <f t="shared" si="50"/>
        <v>10456</v>
      </c>
      <c r="H101" s="1024">
        <f t="shared" si="50"/>
        <v>314.997456</v>
      </c>
      <c r="I101" s="1024">
        <f t="shared" si="50"/>
        <v>10456</v>
      </c>
      <c r="J101" s="1024">
        <f t="shared" si="50"/>
        <v>314.997456</v>
      </c>
      <c r="K101" s="1024">
        <f t="shared" si="50"/>
        <v>0</v>
      </c>
      <c r="L101" s="1024">
        <f t="shared" si="50"/>
        <v>0</v>
      </c>
      <c r="M101" s="1024">
        <f t="shared" si="50"/>
        <v>0</v>
      </c>
      <c r="N101" s="1024">
        <f t="shared" si="50"/>
        <v>0</v>
      </c>
      <c r="O101" s="1024">
        <f t="shared" si="50"/>
        <v>10456</v>
      </c>
      <c r="P101" s="1652">
        <f t="shared" si="50"/>
        <v>314.997456</v>
      </c>
      <c r="Q101" s="1024">
        <f t="shared" si="50"/>
        <v>10456</v>
      </c>
      <c r="R101" s="1023">
        <f t="shared" si="50"/>
        <v>314.997456</v>
      </c>
      <c r="S101" s="1022">
        <f t="shared" si="50"/>
        <v>0</v>
      </c>
      <c r="T101" s="1025">
        <f t="shared" si="50"/>
        <v>0</v>
      </c>
      <c r="U101" s="1025">
        <f t="shared" si="50"/>
        <v>0</v>
      </c>
      <c r="V101" s="1026">
        <f t="shared" si="50"/>
        <v>0</v>
      </c>
    </row>
    <row r="102" spans="1:22" s="49" customFormat="1" ht="15" customHeight="1">
      <c r="A102" s="1047"/>
      <c r="B102" s="1048" t="s">
        <v>8</v>
      </c>
      <c r="C102" s="1049" t="e">
        <f>C105+#REF!+#REF!</f>
        <v>#REF!</v>
      </c>
      <c r="D102" s="1511" t="e">
        <f>D105+#REF!+#REF!</f>
        <v>#REF!</v>
      </c>
      <c r="E102" s="1054">
        <f>E105</f>
        <v>0</v>
      </c>
      <c r="F102" s="1053">
        <f aca="true" t="shared" si="51" ref="F102:V102">F105</f>
        <v>0</v>
      </c>
      <c r="G102" s="1049">
        <f t="shared" si="51"/>
        <v>9958</v>
      </c>
      <c r="H102" s="1051">
        <f t="shared" si="51"/>
        <v>299.994708</v>
      </c>
      <c r="I102" s="1051">
        <f t="shared" si="51"/>
        <v>9958</v>
      </c>
      <c r="J102" s="1051">
        <f t="shared" si="51"/>
        <v>299.994708</v>
      </c>
      <c r="K102" s="1051">
        <f t="shared" si="51"/>
        <v>0</v>
      </c>
      <c r="L102" s="1051">
        <f t="shared" si="51"/>
        <v>0</v>
      </c>
      <c r="M102" s="1051">
        <f t="shared" si="51"/>
        <v>0</v>
      </c>
      <c r="N102" s="1051">
        <f t="shared" si="51"/>
        <v>0</v>
      </c>
      <c r="O102" s="1051">
        <f t="shared" si="51"/>
        <v>9958</v>
      </c>
      <c r="P102" s="1655">
        <f t="shared" si="51"/>
        <v>299.994708</v>
      </c>
      <c r="Q102" s="1051">
        <f t="shared" si="51"/>
        <v>9958</v>
      </c>
      <c r="R102" s="1050">
        <f t="shared" si="51"/>
        <v>299.994708</v>
      </c>
      <c r="S102" s="1049">
        <f t="shared" si="51"/>
        <v>0</v>
      </c>
      <c r="T102" s="1052">
        <f t="shared" si="51"/>
        <v>0</v>
      </c>
      <c r="U102" s="1052">
        <f t="shared" si="51"/>
        <v>0</v>
      </c>
      <c r="V102" s="1053">
        <f t="shared" si="51"/>
        <v>0</v>
      </c>
    </row>
    <row r="103" spans="1:22" s="24" customFormat="1" ht="15" customHeight="1">
      <c r="A103" s="1103"/>
      <c r="B103" s="1104" t="s">
        <v>181</v>
      </c>
      <c r="C103" s="1130">
        <f aca="true" t="shared" si="52" ref="C103:H103">SUM(C104:C105)</f>
        <v>0</v>
      </c>
      <c r="D103" s="1586">
        <f t="shared" si="52"/>
        <v>0</v>
      </c>
      <c r="E103" s="2546">
        <f t="shared" si="52"/>
        <v>0</v>
      </c>
      <c r="F103" s="1165">
        <f t="shared" si="52"/>
        <v>0</v>
      </c>
      <c r="G103" s="1163">
        <f t="shared" si="52"/>
        <v>20414</v>
      </c>
      <c r="H103" s="1132">
        <f t="shared" si="52"/>
        <v>614.992164</v>
      </c>
      <c r="I103" s="1164">
        <f aca="true" t="shared" si="53" ref="I103:N103">SUM(I104:I105)</f>
        <v>20414</v>
      </c>
      <c r="J103" s="1164">
        <f t="shared" si="53"/>
        <v>614.992164</v>
      </c>
      <c r="K103" s="1164">
        <f t="shared" si="53"/>
        <v>0</v>
      </c>
      <c r="L103" s="1164">
        <f t="shared" si="53"/>
        <v>0</v>
      </c>
      <c r="M103" s="1164">
        <f t="shared" si="53"/>
        <v>0</v>
      </c>
      <c r="N103" s="1164">
        <f t="shared" si="53"/>
        <v>0</v>
      </c>
      <c r="O103" s="1164">
        <f aca="true" t="shared" si="54" ref="O103:V103">SUM(O104:O105)</f>
        <v>20414</v>
      </c>
      <c r="P103" s="1586">
        <f t="shared" si="54"/>
        <v>614.992164</v>
      </c>
      <c r="Q103" s="1132">
        <f t="shared" si="54"/>
        <v>20414</v>
      </c>
      <c r="R103" s="1131">
        <f t="shared" si="54"/>
        <v>614.992164</v>
      </c>
      <c r="S103" s="1130">
        <f t="shared" si="54"/>
        <v>0</v>
      </c>
      <c r="T103" s="1164">
        <f t="shared" si="54"/>
        <v>0</v>
      </c>
      <c r="U103" s="1164">
        <f t="shared" si="54"/>
        <v>0</v>
      </c>
      <c r="V103" s="1165">
        <f t="shared" si="54"/>
        <v>0</v>
      </c>
    </row>
    <row r="104" spans="1:22" s="30" customFormat="1" ht="15" customHeight="1">
      <c r="A104" s="196"/>
      <c r="B104" s="834" t="s">
        <v>340</v>
      </c>
      <c r="C104" s="1110"/>
      <c r="D104" s="2531"/>
      <c r="E104" s="772"/>
      <c r="F104" s="139"/>
      <c r="G104" s="963">
        <v>10456</v>
      </c>
      <c r="H104" s="35">
        <f>G104*30.126/1000</f>
        <v>314.997456</v>
      </c>
      <c r="I104" s="9">
        <v>10456</v>
      </c>
      <c r="J104" s="9">
        <f>I104*30.126/1000</f>
        <v>314.997456</v>
      </c>
      <c r="K104" s="9"/>
      <c r="L104" s="9"/>
      <c r="M104" s="9"/>
      <c r="N104" s="9"/>
      <c r="O104" s="9">
        <v>10456</v>
      </c>
      <c r="P104" s="382">
        <f>O104*30.126/1000</f>
        <v>314.997456</v>
      </c>
      <c r="Q104" s="35">
        <v>10456</v>
      </c>
      <c r="R104" s="8">
        <f>Q104*30.126/1000</f>
        <v>314.997456</v>
      </c>
      <c r="S104" s="782"/>
      <c r="T104" s="9"/>
      <c r="U104" s="9"/>
      <c r="V104" s="139"/>
    </row>
    <row r="105" spans="1:22" s="49" customFormat="1" ht="15" customHeight="1" thickBot="1">
      <c r="A105" s="1243"/>
      <c r="B105" s="1073" t="s">
        <v>341</v>
      </c>
      <c r="C105" s="1760"/>
      <c r="D105" s="2532"/>
      <c r="E105" s="2547"/>
      <c r="F105" s="2548"/>
      <c r="G105" s="1246">
        <v>9958</v>
      </c>
      <c r="H105" s="1159">
        <f>G105*30.126/1000</f>
        <v>299.994708</v>
      </c>
      <c r="I105" s="1247">
        <v>9958</v>
      </c>
      <c r="J105" s="1161">
        <f>I105*30.126/1000</f>
        <v>299.994708</v>
      </c>
      <c r="K105" s="1247"/>
      <c r="L105" s="1161"/>
      <c r="M105" s="1247"/>
      <c r="N105" s="1247"/>
      <c r="O105" s="1247">
        <v>9958</v>
      </c>
      <c r="P105" s="1589">
        <f>O105*30.126/1000</f>
        <v>299.994708</v>
      </c>
      <c r="Q105" s="1245">
        <v>9958</v>
      </c>
      <c r="R105" s="2555">
        <f>Q105*30.126/1000</f>
        <v>299.994708</v>
      </c>
      <c r="S105" s="2552"/>
      <c r="T105" s="1161"/>
      <c r="U105" s="1247"/>
      <c r="V105" s="1162"/>
    </row>
    <row r="106" spans="1:4" s="6" customFormat="1" ht="19.5" customHeight="1" thickBot="1">
      <c r="A106" s="16"/>
      <c r="C106" s="275"/>
      <c r="D106" s="275"/>
    </row>
    <row r="107" spans="1:22" s="23" customFormat="1" ht="39.75" customHeight="1" thickTop="1">
      <c r="A107" s="2905"/>
      <c r="B107" s="2934"/>
      <c r="C107" s="539" t="s">
        <v>506</v>
      </c>
      <c r="D107" s="2314" t="s">
        <v>507</v>
      </c>
      <c r="E107" s="2839" t="s">
        <v>184</v>
      </c>
      <c r="F107" s="2840"/>
      <c r="G107" s="460" t="s">
        <v>510</v>
      </c>
      <c r="H107" s="496" t="s">
        <v>510</v>
      </c>
      <c r="I107" s="497" t="s">
        <v>87</v>
      </c>
      <c r="J107" s="497" t="s">
        <v>87</v>
      </c>
      <c r="K107" s="2870" t="s">
        <v>509</v>
      </c>
      <c r="L107" s="2870"/>
      <c r="M107" s="2870" t="s">
        <v>508</v>
      </c>
      <c r="N107" s="2870"/>
      <c r="O107" s="498" t="s">
        <v>952</v>
      </c>
      <c r="P107" s="1571" t="s">
        <v>952</v>
      </c>
      <c r="Q107" s="2948" t="s">
        <v>183</v>
      </c>
      <c r="R107" s="2949"/>
      <c r="S107" s="2956" t="s">
        <v>725</v>
      </c>
      <c r="T107" s="2957"/>
      <c r="U107" s="2957" t="s">
        <v>726</v>
      </c>
      <c r="V107" s="2958"/>
    </row>
    <row r="108" spans="1:22" s="24" customFormat="1" ht="15" customHeight="1" thickBot="1">
      <c r="A108" s="2907"/>
      <c r="B108" s="2935"/>
      <c r="C108" s="540" t="s">
        <v>966</v>
      </c>
      <c r="D108" s="2315" t="s">
        <v>966</v>
      </c>
      <c r="E108" s="2318" t="s">
        <v>435</v>
      </c>
      <c r="F108" s="2234" t="s">
        <v>966</v>
      </c>
      <c r="G108" s="461" t="s">
        <v>435</v>
      </c>
      <c r="H108" s="352" t="s">
        <v>966</v>
      </c>
      <c r="I108" s="499" t="s">
        <v>435</v>
      </c>
      <c r="J108" s="499" t="s">
        <v>966</v>
      </c>
      <c r="K108" s="241" t="s">
        <v>435</v>
      </c>
      <c r="L108" s="241" t="s">
        <v>966</v>
      </c>
      <c r="M108" s="241" t="s">
        <v>435</v>
      </c>
      <c r="N108" s="241" t="s">
        <v>966</v>
      </c>
      <c r="O108" s="500" t="s">
        <v>435</v>
      </c>
      <c r="P108" s="1572" t="s">
        <v>966</v>
      </c>
      <c r="Q108" s="2250" t="s">
        <v>435</v>
      </c>
      <c r="R108" s="975" t="s">
        <v>966</v>
      </c>
      <c r="S108" s="797" t="s">
        <v>435</v>
      </c>
      <c r="T108" s="241" t="s">
        <v>966</v>
      </c>
      <c r="U108" s="241" t="s">
        <v>435</v>
      </c>
      <c r="V108" s="796" t="s">
        <v>966</v>
      </c>
    </row>
    <row r="109" spans="1:22" s="23" customFormat="1" ht="19.5" customHeight="1">
      <c r="A109" s="421" t="s">
        <v>355</v>
      </c>
      <c r="B109" s="793" t="s">
        <v>43</v>
      </c>
      <c r="C109" s="541" t="e">
        <f aca="true" t="shared" si="55" ref="C109:V109">C4+C82</f>
        <v>#REF!</v>
      </c>
      <c r="D109" s="1606" t="e">
        <f t="shared" si="55"/>
        <v>#REF!</v>
      </c>
      <c r="E109" s="2319">
        <f t="shared" si="55"/>
        <v>720206</v>
      </c>
      <c r="F109" s="2320">
        <f t="shared" si="55"/>
        <v>21696.925956</v>
      </c>
      <c r="G109" s="493">
        <f t="shared" si="55"/>
        <v>961104</v>
      </c>
      <c r="H109" s="502">
        <f t="shared" si="55"/>
        <v>28954.219104</v>
      </c>
      <c r="I109" s="487">
        <f t="shared" si="55"/>
        <v>811664</v>
      </c>
      <c r="J109" s="487">
        <f t="shared" si="55"/>
        <v>24452.189664</v>
      </c>
      <c r="K109" s="487">
        <f t="shared" si="55"/>
        <v>1050998</v>
      </c>
      <c r="L109" s="487">
        <f t="shared" si="55"/>
        <v>31662.365747999997</v>
      </c>
      <c r="M109" s="487">
        <f t="shared" si="55"/>
        <v>918037</v>
      </c>
      <c r="N109" s="487">
        <f t="shared" si="55"/>
        <v>27656.782662000005</v>
      </c>
      <c r="O109" s="487">
        <f t="shared" si="55"/>
        <v>811664</v>
      </c>
      <c r="P109" s="1606">
        <f t="shared" si="55"/>
        <v>24452.189664</v>
      </c>
      <c r="Q109" s="2389">
        <f t="shared" si="55"/>
        <v>665027</v>
      </c>
      <c r="R109" s="2390">
        <f t="shared" si="55"/>
        <v>20034.091402000002</v>
      </c>
      <c r="S109" s="541">
        <f t="shared" si="55"/>
        <v>582559</v>
      </c>
      <c r="T109" s="487">
        <f t="shared" si="55"/>
        <v>17550.172434</v>
      </c>
      <c r="U109" s="487">
        <f t="shared" si="55"/>
        <v>633013</v>
      </c>
      <c r="V109" s="503">
        <f t="shared" si="55"/>
        <v>19070.149638000003</v>
      </c>
    </row>
    <row r="110" spans="1:22" s="30" customFormat="1" ht="15" customHeight="1">
      <c r="A110" s="423"/>
      <c r="B110" s="794" t="s">
        <v>965</v>
      </c>
      <c r="C110" s="542">
        <f aca="true" t="shared" si="56" ref="C110:V110">C6+C45+C85</f>
        <v>17538</v>
      </c>
      <c r="D110" s="1607">
        <f t="shared" si="56"/>
        <v>31829</v>
      </c>
      <c r="E110" s="2321">
        <f t="shared" si="56"/>
        <v>627844</v>
      </c>
      <c r="F110" s="2322">
        <f t="shared" si="56"/>
        <v>18914.428344</v>
      </c>
      <c r="G110" s="494">
        <f t="shared" si="56"/>
        <v>652690</v>
      </c>
      <c r="H110" s="504">
        <f t="shared" si="56"/>
        <v>19662.93894</v>
      </c>
      <c r="I110" s="489">
        <f t="shared" si="56"/>
        <v>638250</v>
      </c>
      <c r="J110" s="489">
        <f t="shared" si="56"/>
        <v>19227.9195</v>
      </c>
      <c r="K110" s="489">
        <f t="shared" si="56"/>
        <v>830716</v>
      </c>
      <c r="L110" s="489">
        <f t="shared" si="56"/>
        <v>25026.150216</v>
      </c>
      <c r="M110" s="489">
        <f t="shared" si="56"/>
        <v>826037</v>
      </c>
      <c r="N110" s="489">
        <f t="shared" si="56"/>
        <v>24885.190662</v>
      </c>
      <c r="O110" s="489">
        <f t="shared" si="56"/>
        <v>638250</v>
      </c>
      <c r="P110" s="1607">
        <f t="shared" si="56"/>
        <v>19227.9195</v>
      </c>
      <c r="Q110" s="2419">
        <f t="shared" si="56"/>
        <v>641613</v>
      </c>
      <c r="R110" s="2420">
        <f t="shared" si="56"/>
        <v>19328.721238000002</v>
      </c>
      <c r="S110" s="542">
        <f t="shared" si="56"/>
        <v>579559</v>
      </c>
      <c r="T110" s="489">
        <f t="shared" si="56"/>
        <v>17459.794434</v>
      </c>
      <c r="U110" s="489">
        <f t="shared" si="56"/>
        <v>630013</v>
      </c>
      <c r="V110" s="505">
        <f t="shared" si="56"/>
        <v>18979.771638000002</v>
      </c>
    </row>
    <row r="111" spans="1:22" s="30" customFormat="1" ht="15" customHeight="1" thickBot="1">
      <c r="A111" s="485"/>
      <c r="B111" s="795" t="s">
        <v>967</v>
      </c>
      <c r="C111" s="543" t="e">
        <f aca="true" t="shared" si="57" ref="C111:N111">C55+C100</f>
        <v>#REF!</v>
      </c>
      <c r="D111" s="1608" t="e">
        <f t="shared" si="57"/>
        <v>#REF!</v>
      </c>
      <c r="E111" s="2323">
        <f t="shared" si="57"/>
        <v>92362</v>
      </c>
      <c r="F111" s="2324">
        <f t="shared" si="57"/>
        <v>2782.497612</v>
      </c>
      <c r="G111" s="495">
        <f t="shared" si="57"/>
        <v>308414</v>
      </c>
      <c r="H111" s="506">
        <f t="shared" si="57"/>
        <v>9291.280163999998</v>
      </c>
      <c r="I111" s="491">
        <f t="shared" si="57"/>
        <v>173414</v>
      </c>
      <c r="J111" s="491">
        <f t="shared" si="57"/>
        <v>5224.270164</v>
      </c>
      <c r="K111" s="491">
        <f t="shared" si="57"/>
        <v>220282</v>
      </c>
      <c r="L111" s="491">
        <f t="shared" si="57"/>
        <v>6636.215532</v>
      </c>
      <c r="M111" s="491">
        <f t="shared" si="57"/>
        <v>92000</v>
      </c>
      <c r="N111" s="491">
        <f t="shared" si="57"/>
        <v>2771.5920000000006</v>
      </c>
      <c r="O111" s="491">
        <f aca="true" t="shared" si="58" ref="O111:V111">O55+O100</f>
        <v>173414</v>
      </c>
      <c r="P111" s="1608">
        <f t="shared" si="58"/>
        <v>5224.270164</v>
      </c>
      <c r="Q111" s="2391">
        <f t="shared" si="58"/>
        <v>23414</v>
      </c>
      <c r="R111" s="2392">
        <f t="shared" si="58"/>
        <v>705.370164</v>
      </c>
      <c r="S111" s="543">
        <f t="shared" si="58"/>
        <v>3000</v>
      </c>
      <c r="T111" s="491">
        <f t="shared" si="58"/>
        <v>90.378</v>
      </c>
      <c r="U111" s="491">
        <f t="shared" si="58"/>
        <v>3000</v>
      </c>
      <c r="V111" s="507">
        <f t="shared" si="58"/>
        <v>90.378</v>
      </c>
    </row>
  </sheetData>
  <sheetProtection/>
  <mergeCells count="21">
    <mergeCell ref="S107:T107"/>
    <mergeCell ref="U2:V2"/>
    <mergeCell ref="U80:V80"/>
    <mergeCell ref="U107:V107"/>
    <mergeCell ref="S2:T2"/>
    <mergeCell ref="S80:T80"/>
    <mergeCell ref="A107:B108"/>
    <mergeCell ref="K107:L107"/>
    <mergeCell ref="M107:N107"/>
    <mergeCell ref="M2:N2"/>
    <mergeCell ref="K80:L80"/>
    <mergeCell ref="E107:F107"/>
    <mergeCell ref="A2:B3"/>
    <mergeCell ref="A80:B81"/>
    <mergeCell ref="K2:L2"/>
    <mergeCell ref="E2:F2"/>
    <mergeCell ref="E80:F80"/>
    <mergeCell ref="Q2:R2"/>
    <mergeCell ref="Q80:R80"/>
    <mergeCell ref="Q107:R107"/>
    <mergeCell ref="M80:N80"/>
  </mergeCells>
  <printOptions horizontalCentered="1"/>
  <pageMargins left="0" right="0.7874015748031497" top="1.1811023622047245" bottom="0.984251968503937" header="0" footer="0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W257"/>
  <sheetViews>
    <sheetView showGridLines="0" zoomScalePageLayoutView="0" workbookViewId="0" topLeftCell="A1">
      <pane xSplit="2" ySplit="3" topLeftCell="C4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4" sqref="B24"/>
    </sheetView>
  </sheetViews>
  <sheetFormatPr defaultColWidth="9.140625" defaultRowHeight="12.75"/>
  <cols>
    <col min="1" max="1" width="7.8515625" style="12" customWidth="1"/>
    <col min="2" max="2" width="52.28125" style="3" customWidth="1"/>
    <col min="3" max="4" width="10.7109375" style="291" hidden="1" customWidth="1"/>
    <col min="5" max="6" width="10.7109375" style="4" customWidth="1"/>
    <col min="7" max="13" width="10.7109375" style="4" hidden="1" customWidth="1"/>
    <col min="14" max="14" width="10.7109375" style="3" hidden="1" customWidth="1"/>
    <col min="15" max="16" width="10.7109375" style="4" hidden="1" customWidth="1"/>
    <col min="17" max="22" width="10.7109375" style="4" customWidth="1"/>
    <col min="23" max="16384" width="9.140625" style="3" customWidth="1"/>
  </cols>
  <sheetData>
    <row r="1" spans="1:18" ht="21" hidden="1" thickBot="1" thickTop="1">
      <c r="A1" s="237" t="s">
        <v>1122</v>
      </c>
      <c r="Q1" s="2501"/>
      <c r="R1" s="2502"/>
    </row>
    <row r="2" spans="1:22" s="30" customFormat="1" ht="39.75" customHeight="1">
      <c r="A2" s="2952"/>
      <c r="B2" s="2953"/>
      <c r="C2" s="360" t="s">
        <v>506</v>
      </c>
      <c r="D2" s="2112" t="s">
        <v>507</v>
      </c>
      <c r="E2" s="2890" t="s">
        <v>184</v>
      </c>
      <c r="F2" s="2891"/>
      <c r="G2" s="570" t="s">
        <v>510</v>
      </c>
      <c r="H2" s="473" t="s">
        <v>510</v>
      </c>
      <c r="I2" s="474" t="s">
        <v>87</v>
      </c>
      <c r="J2" s="474" t="s">
        <v>87</v>
      </c>
      <c r="K2" s="2871" t="s">
        <v>509</v>
      </c>
      <c r="L2" s="2871"/>
      <c r="M2" s="2871" t="s">
        <v>508</v>
      </c>
      <c r="N2" s="2871"/>
      <c r="O2" s="475" t="s">
        <v>952</v>
      </c>
      <c r="P2" s="767" t="s">
        <v>952</v>
      </c>
      <c r="Q2" s="2861" t="s">
        <v>183</v>
      </c>
      <c r="R2" s="2959"/>
      <c r="S2" s="2865" t="s">
        <v>725</v>
      </c>
      <c r="T2" s="2863"/>
      <c r="U2" s="2863" t="s">
        <v>726</v>
      </c>
      <c r="V2" s="2864"/>
    </row>
    <row r="3" spans="1:22" s="24" customFormat="1" ht="15" customHeight="1" thickBot="1">
      <c r="A3" s="2954"/>
      <c r="B3" s="2955"/>
      <c r="C3" s="347" t="s">
        <v>966</v>
      </c>
      <c r="D3" s="2304" t="s">
        <v>966</v>
      </c>
      <c r="E3" s="768" t="s">
        <v>435</v>
      </c>
      <c r="F3" s="307" t="s">
        <v>966</v>
      </c>
      <c r="G3" s="461" t="s">
        <v>435</v>
      </c>
      <c r="H3" s="346" t="s">
        <v>966</v>
      </c>
      <c r="I3" s="450" t="s">
        <v>435</v>
      </c>
      <c r="J3" s="450" t="s">
        <v>966</v>
      </c>
      <c r="K3" s="239" t="s">
        <v>435</v>
      </c>
      <c r="L3" s="239" t="s">
        <v>966</v>
      </c>
      <c r="M3" s="239" t="s">
        <v>435</v>
      </c>
      <c r="N3" s="239" t="s">
        <v>966</v>
      </c>
      <c r="O3" s="451" t="s">
        <v>435</v>
      </c>
      <c r="P3" s="765" t="s">
        <v>966</v>
      </c>
      <c r="Q3" s="238" t="s">
        <v>435</v>
      </c>
      <c r="R3" s="993" t="s">
        <v>966</v>
      </c>
      <c r="S3" s="2117" t="s">
        <v>435</v>
      </c>
      <c r="T3" s="239" t="s">
        <v>966</v>
      </c>
      <c r="U3" s="239" t="s">
        <v>435</v>
      </c>
      <c r="V3" s="307" t="s">
        <v>966</v>
      </c>
    </row>
    <row r="4" spans="1:22" s="30" customFormat="1" ht="19.5" customHeight="1">
      <c r="A4" s="182" t="s">
        <v>356</v>
      </c>
      <c r="B4" s="830" t="s">
        <v>681</v>
      </c>
      <c r="C4" s="778">
        <f aca="true" t="shared" si="0" ref="C4:V4">C5+C40</f>
        <v>9218</v>
      </c>
      <c r="D4" s="454">
        <f t="shared" si="0"/>
        <v>10925</v>
      </c>
      <c r="E4" s="850">
        <f t="shared" si="0"/>
        <v>375004</v>
      </c>
      <c r="F4" s="665">
        <f t="shared" si="0"/>
        <v>11297.370504</v>
      </c>
      <c r="G4" s="530">
        <f t="shared" si="0"/>
        <v>296325</v>
      </c>
      <c r="H4" s="107">
        <f t="shared" si="0"/>
        <v>8927.08695</v>
      </c>
      <c r="I4" s="109">
        <f t="shared" si="0"/>
        <v>278621</v>
      </c>
      <c r="J4" s="109">
        <f t="shared" si="0"/>
        <v>8393.736246</v>
      </c>
      <c r="K4" s="109">
        <f t="shared" si="0"/>
        <v>240484</v>
      </c>
      <c r="L4" s="109">
        <f t="shared" si="0"/>
        <v>7244.820984</v>
      </c>
      <c r="M4" s="109">
        <f t="shared" si="0"/>
        <v>243766</v>
      </c>
      <c r="N4" s="109">
        <f t="shared" si="0"/>
        <v>7343.6945160000005</v>
      </c>
      <c r="O4" s="109">
        <f t="shared" si="0"/>
        <v>225511</v>
      </c>
      <c r="P4" s="454">
        <f t="shared" si="0"/>
        <v>6793.744386</v>
      </c>
      <c r="Q4" s="107">
        <f t="shared" si="0"/>
        <v>226507</v>
      </c>
      <c r="R4" s="108">
        <f t="shared" si="0"/>
        <v>6823.749882</v>
      </c>
      <c r="S4" s="778">
        <f t="shared" si="0"/>
        <v>227671</v>
      </c>
      <c r="T4" s="109">
        <f t="shared" si="0"/>
        <v>6858.816546</v>
      </c>
      <c r="U4" s="109">
        <f t="shared" si="0"/>
        <v>227671</v>
      </c>
      <c r="V4" s="665">
        <f t="shared" si="0"/>
        <v>6858.816546</v>
      </c>
    </row>
    <row r="5" spans="1:22" s="30" customFormat="1" ht="19.5" customHeight="1">
      <c r="A5" s="183" t="s">
        <v>270</v>
      </c>
      <c r="B5" s="831" t="s">
        <v>685</v>
      </c>
      <c r="C5" s="779">
        <f aca="true" t="shared" si="1" ref="C5:V5">C6+C37</f>
        <v>8478</v>
      </c>
      <c r="D5" s="455">
        <f t="shared" si="1"/>
        <v>9849</v>
      </c>
      <c r="E5" s="769">
        <f t="shared" si="1"/>
        <v>346457</v>
      </c>
      <c r="F5" s="479">
        <f t="shared" si="1"/>
        <v>10437.363582</v>
      </c>
      <c r="G5" s="463">
        <f t="shared" si="1"/>
        <v>274415</v>
      </c>
      <c r="H5" s="447">
        <f t="shared" si="1"/>
        <v>8267.026290000002</v>
      </c>
      <c r="I5" s="28">
        <f t="shared" si="1"/>
        <v>258371</v>
      </c>
      <c r="J5" s="28">
        <f t="shared" si="1"/>
        <v>7783.684746</v>
      </c>
      <c r="K5" s="28">
        <f t="shared" si="1"/>
        <v>220184</v>
      </c>
      <c r="L5" s="28">
        <f t="shared" si="1"/>
        <v>6633.263184</v>
      </c>
      <c r="M5" s="28">
        <f t="shared" si="1"/>
        <v>221796</v>
      </c>
      <c r="N5" s="28">
        <f t="shared" si="1"/>
        <v>6681.826296</v>
      </c>
      <c r="O5" s="28">
        <f t="shared" si="1"/>
        <v>205261</v>
      </c>
      <c r="P5" s="455">
        <f t="shared" si="1"/>
        <v>6183.692886</v>
      </c>
      <c r="Q5" s="19">
        <f t="shared" si="1"/>
        <v>206257</v>
      </c>
      <c r="R5" s="17">
        <f t="shared" si="1"/>
        <v>6213.698382</v>
      </c>
      <c r="S5" s="779">
        <f t="shared" si="1"/>
        <v>207421</v>
      </c>
      <c r="T5" s="28">
        <f t="shared" si="1"/>
        <v>6248.765046</v>
      </c>
      <c r="U5" s="28">
        <f t="shared" si="1"/>
        <v>207421</v>
      </c>
      <c r="V5" s="479">
        <f t="shared" si="1"/>
        <v>6248.765046</v>
      </c>
    </row>
    <row r="6" spans="1:22" s="24" customFormat="1" ht="19.5" customHeight="1">
      <c r="A6" s="137" t="s">
        <v>271</v>
      </c>
      <c r="B6" s="832" t="s">
        <v>965</v>
      </c>
      <c r="C6" s="780">
        <f aca="true" t="shared" si="2" ref="C6:R6">C7+C18+C26+C31+C35+C36</f>
        <v>7966</v>
      </c>
      <c r="D6" s="456">
        <f t="shared" si="2"/>
        <v>9377</v>
      </c>
      <c r="E6" s="770">
        <f t="shared" si="2"/>
        <v>330856</v>
      </c>
      <c r="F6" s="480">
        <f t="shared" si="2"/>
        <v>9967.367856</v>
      </c>
      <c r="G6" s="464">
        <f t="shared" si="2"/>
        <v>271115</v>
      </c>
      <c r="H6" s="20">
        <f t="shared" si="2"/>
        <v>8167.610490000001</v>
      </c>
      <c r="I6" s="29">
        <f t="shared" si="2"/>
        <v>255071</v>
      </c>
      <c r="J6" s="29">
        <f t="shared" si="2"/>
        <v>7684.268946</v>
      </c>
      <c r="K6" s="29">
        <f t="shared" si="2"/>
        <v>213545</v>
      </c>
      <c r="L6" s="29">
        <f t="shared" si="2"/>
        <v>6433.256670000001</v>
      </c>
      <c r="M6" s="29">
        <f t="shared" si="2"/>
        <v>215157</v>
      </c>
      <c r="N6" s="29">
        <f t="shared" si="2"/>
        <v>6481.8197820000005</v>
      </c>
      <c r="O6" s="29">
        <f t="shared" si="2"/>
        <v>201961</v>
      </c>
      <c r="P6" s="456">
        <f t="shared" si="2"/>
        <v>6084.277086</v>
      </c>
      <c r="Q6" s="20">
        <f t="shared" si="2"/>
        <v>202957</v>
      </c>
      <c r="R6" s="18">
        <f t="shared" si="2"/>
        <v>6114.282582</v>
      </c>
      <c r="S6" s="780">
        <v>204121</v>
      </c>
      <c r="T6" s="29">
        <f>S6*30.126/1000</f>
        <v>6149.349246000001</v>
      </c>
      <c r="U6" s="29">
        <v>204121</v>
      </c>
      <c r="V6" s="480">
        <f>U6*30.126/1000</f>
        <v>6149.349246000001</v>
      </c>
    </row>
    <row r="7" spans="1:22" s="6" customFormat="1" ht="15" customHeight="1">
      <c r="A7" s="187" t="s">
        <v>273</v>
      </c>
      <c r="B7" s="1336" t="s">
        <v>687</v>
      </c>
      <c r="C7" s="783">
        <f aca="true" t="shared" si="3" ref="C7:R7">C8+C16+C17</f>
        <v>3350</v>
      </c>
      <c r="D7" s="458">
        <f t="shared" si="3"/>
        <v>3440</v>
      </c>
      <c r="E7" s="773">
        <f t="shared" si="3"/>
        <v>132775</v>
      </c>
      <c r="F7" s="481">
        <f t="shared" si="3"/>
        <v>3999.9796500000007</v>
      </c>
      <c r="G7" s="466">
        <f t="shared" si="3"/>
        <v>126751</v>
      </c>
      <c r="H7" s="471">
        <f t="shared" si="3"/>
        <v>3818.5006260000005</v>
      </c>
      <c r="I7" s="73">
        <f t="shared" si="3"/>
        <v>116324</v>
      </c>
      <c r="J7" s="73">
        <f t="shared" si="3"/>
        <v>3504.3768240000004</v>
      </c>
      <c r="K7" s="73">
        <f t="shared" si="3"/>
        <v>77778</v>
      </c>
      <c r="L7" s="73">
        <f t="shared" si="3"/>
        <v>2343.1400280000003</v>
      </c>
      <c r="M7" s="73">
        <f t="shared" si="3"/>
        <v>79390</v>
      </c>
      <c r="N7" s="73">
        <f t="shared" si="3"/>
        <v>2391.70314</v>
      </c>
      <c r="O7" s="73">
        <f t="shared" si="3"/>
        <v>63214</v>
      </c>
      <c r="P7" s="458">
        <f t="shared" si="3"/>
        <v>1904.384964</v>
      </c>
      <c r="Q7" s="663">
        <f t="shared" si="3"/>
        <v>64210</v>
      </c>
      <c r="R7" s="74">
        <f t="shared" si="3"/>
        <v>1934.39046</v>
      </c>
      <c r="S7" s="783"/>
      <c r="T7" s="73"/>
      <c r="U7" s="73"/>
      <c r="V7" s="481"/>
    </row>
    <row r="8" spans="1:22" s="26" customFormat="1" ht="15" customHeight="1">
      <c r="A8" s="208"/>
      <c r="B8" s="834" t="s">
        <v>686</v>
      </c>
      <c r="C8" s="783">
        <f>SUM(C9:C15)</f>
        <v>2819</v>
      </c>
      <c r="D8" s="458">
        <v>2444</v>
      </c>
      <c r="E8" s="861">
        <f aca="true" t="shared" si="4" ref="E8:R8">SUM(E9:E15)</f>
        <v>106552</v>
      </c>
      <c r="F8" s="207">
        <f t="shared" si="4"/>
        <v>3209.9855520000006</v>
      </c>
      <c r="G8" s="615">
        <f t="shared" si="4"/>
        <v>109830</v>
      </c>
      <c r="H8" s="448">
        <f t="shared" si="4"/>
        <v>3308.73858</v>
      </c>
      <c r="I8" s="14">
        <f t="shared" si="4"/>
        <v>104706</v>
      </c>
      <c r="J8" s="14">
        <f t="shared" si="4"/>
        <v>3154.372956</v>
      </c>
      <c r="K8" s="14">
        <f t="shared" si="4"/>
        <v>64148</v>
      </c>
      <c r="L8" s="14">
        <f t="shared" si="4"/>
        <v>1932.5226480000001</v>
      </c>
      <c r="M8" s="14">
        <f t="shared" si="4"/>
        <v>64100</v>
      </c>
      <c r="N8" s="14">
        <f t="shared" si="4"/>
        <v>1931.0765999999999</v>
      </c>
      <c r="O8" s="14">
        <f t="shared" si="4"/>
        <v>51596</v>
      </c>
      <c r="P8" s="1528">
        <f t="shared" si="4"/>
        <v>1554.381096</v>
      </c>
      <c r="Q8" s="38">
        <f t="shared" si="4"/>
        <v>51596</v>
      </c>
      <c r="R8" s="39">
        <f t="shared" si="4"/>
        <v>1554.381096</v>
      </c>
      <c r="S8" s="855"/>
      <c r="T8" s="14"/>
      <c r="U8" s="14"/>
      <c r="V8" s="207"/>
    </row>
    <row r="9" spans="1:22" s="26" customFormat="1" ht="15" customHeight="1" hidden="1">
      <c r="A9" s="209"/>
      <c r="B9" s="839" t="s">
        <v>669</v>
      </c>
      <c r="C9" s="883"/>
      <c r="D9" s="2305"/>
      <c r="E9" s="861"/>
      <c r="F9" s="207"/>
      <c r="G9" s="615"/>
      <c r="H9" s="448"/>
      <c r="I9" s="14"/>
      <c r="J9" s="14"/>
      <c r="K9" s="14"/>
      <c r="L9" s="14"/>
      <c r="M9" s="14"/>
      <c r="N9" s="14"/>
      <c r="O9" s="14"/>
      <c r="P9" s="1528"/>
      <c r="Q9" s="38"/>
      <c r="R9" s="39"/>
      <c r="S9" s="855"/>
      <c r="T9" s="14"/>
      <c r="U9" s="14"/>
      <c r="V9" s="207"/>
    </row>
    <row r="10" spans="1:22" s="26" customFormat="1" ht="15" customHeight="1">
      <c r="A10" s="209"/>
      <c r="B10" s="839" t="s">
        <v>546</v>
      </c>
      <c r="C10" s="883">
        <v>1571</v>
      </c>
      <c r="D10" s="2305"/>
      <c r="E10" s="861">
        <v>23236</v>
      </c>
      <c r="F10" s="207">
        <f>(E10*30.126)/1000</f>
        <v>700.007736</v>
      </c>
      <c r="G10" s="615">
        <v>26700</v>
      </c>
      <c r="H10" s="448">
        <f>G10*30.126/1000</f>
        <v>804.3642000000001</v>
      </c>
      <c r="I10" s="14">
        <v>21576</v>
      </c>
      <c r="J10" s="14">
        <f aca="true" t="shared" si="5" ref="J10:J17">I10*30.126/1000</f>
        <v>649.998576</v>
      </c>
      <c r="K10" s="14">
        <v>23236</v>
      </c>
      <c r="L10" s="14">
        <f>K10*30.126/1000</f>
        <v>700.007736</v>
      </c>
      <c r="M10" s="14">
        <v>24100</v>
      </c>
      <c r="N10" s="14">
        <f>M10*30.126/1000</f>
        <v>726.0366</v>
      </c>
      <c r="O10" s="14">
        <v>21576</v>
      </c>
      <c r="P10" s="1528">
        <f>O10*30.126/1000</f>
        <v>649.998576</v>
      </c>
      <c r="Q10" s="38">
        <v>21576</v>
      </c>
      <c r="R10" s="39">
        <f>Q10*30.126/1000</f>
        <v>649.998576</v>
      </c>
      <c r="S10" s="855"/>
      <c r="T10" s="14"/>
      <c r="U10" s="14"/>
      <c r="V10" s="207"/>
    </row>
    <row r="11" spans="1:22" s="26" customFormat="1" ht="15" customHeight="1">
      <c r="A11" s="209"/>
      <c r="B11" s="839" t="s">
        <v>670</v>
      </c>
      <c r="C11" s="883">
        <v>443</v>
      </c>
      <c r="D11" s="2305"/>
      <c r="E11" s="861">
        <v>20580</v>
      </c>
      <c r="F11" s="207">
        <f>(E11*30.126)/1000</f>
        <v>619.9930800000001</v>
      </c>
      <c r="G11" s="615">
        <v>21200</v>
      </c>
      <c r="H11" s="448">
        <f>G11*30.126/1000</f>
        <v>638.6712000000001</v>
      </c>
      <c r="I11" s="14">
        <v>21200</v>
      </c>
      <c r="J11" s="14">
        <f t="shared" si="5"/>
        <v>638.6712000000001</v>
      </c>
      <c r="K11" s="14">
        <v>20912</v>
      </c>
      <c r="L11" s="14">
        <f>K11*30.126/1000</f>
        <v>629.994912</v>
      </c>
      <c r="M11" s="14">
        <v>20000</v>
      </c>
      <c r="N11" s="14">
        <f>M11*30.126/1000</f>
        <v>602.52</v>
      </c>
      <c r="O11" s="14">
        <v>21200</v>
      </c>
      <c r="P11" s="1528">
        <f>O11*30.126/1000</f>
        <v>638.6712000000001</v>
      </c>
      <c r="Q11" s="38">
        <v>21200</v>
      </c>
      <c r="R11" s="39">
        <f>Q11*30.126/1000</f>
        <v>638.6712000000001</v>
      </c>
      <c r="S11" s="855"/>
      <c r="T11" s="14"/>
      <c r="U11" s="14"/>
      <c r="V11" s="207"/>
    </row>
    <row r="12" spans="1:22" s="26" customFormat="1" ht="15" customHeight="1">
      <c r="A12" s="209"/>
      <c r="B12" s="839" t="s">
        <v>671</v>
      </c>
      <c r="C12" s="883">
        <v>156</v>
      </c>
      <c r="D12" s="2305"/>
      <c r="E12" s="861">
        <v>4979</v>
      </c>
      <c r="F12" s="207">
        <f>(E12*30.126)/1000</f>
        <v>149.997354</v>
      </c>
      <c r="G12" s="615">
        <v>3320</v>
      </c>
      <c r="H12" s="448">
        <f>G12*30.126/1000</f>
        <v>100.01832</v>
      </c>
      <c r="I12" s="14">
        <v>3320</v>
      </c>
      <c r="J12" s="14">
        <f t="shared" si="5"/>
        <v>100.01832</v>
      </c>
      <c r="K12" s="14">
        <v>5000</v>
      </c>
      <c r="L12" s="14">
        <f>K12*30.126/1000</f>
        <v>150.63</v>
      </c>
      <c r="M12" s="14">
        <v>5000</v>
      </c>
      <c r="N12" s="14">
        <f>M12*30.126/1000</f>
        <v>150.63</v>
      </c>
      <c r="O12" s="14">
        <v>3320</v>
      </c>
      <c r="P12" s="1528">
        <f>O12*30.126/1000</f>
        <v>100.01832</v>
      </c>
      <c r="Q12" s="38">
        <v>3320</v>
      </c>
      <c r="R12" s="39">
        <f>Q12*30.126/1000</f>
        <v>100.01832</v>
      </c>
      <c r="S12" s="855"/>
      <c r="T12" s="14"/>
      <c r="U12" s="14"/>
      <c r="V12" s="207"/>
    </row>
    <row r="13" spans="1:22" s="26" customFormat="1" ht="15" customHeight="1" hidden="1">
      <c r="A13" s="209"/>
      <c r="B13" s="839" t="s">
        <v>545</v>
      </c>
      <c r="C13" s="883">
        <v>409</v>
      </c>
      <c r="D13" s="2305"/>
      <c r="E13" s="861"/>
      <c r="F13" s="207"/>
      <c r="G13" s="615"/>
      <c r="H13" s="448"/>
      <c r="I13" s="14"/>
      <c r="J13" s="14">
        <f t="shared" si="5"/>
        <v>0</v>
      </c>
      <c r="K13" s="14"/>
      <c r="L13" s="14"/>
      <c r="M13" s="14"/>
      <c r="N13" s="14"/>
      <c r="O13" s="14"/>
      <c r="P13" s="1528">
        <f>O13*30.126/1000</f>
        <v>0</v>
      </c>
      <c r="Q13" s="38"/>
      <c r="R13" s="39">
        <f>Q13*30.126/1000</f>
        <v>0</v>
      </c>
      <c r="S13" s="855"/>
      <c r="T13" s="14"/>
      <c r="U13" s="14"/>
      <c r="V13" s="207"/>
    </row>
    <row r="14" spans="1:22" s="26" customFormat="1" ht="15" customHeight="1">
      <c r="A14" s="209"/>
      <c r="B14" s="839" t="s">
        <v>672</v>
      </c>
      <c r="C14" s="883">
        <v>240</v>
      </c>
      <c r="D14" s="2305"/>
      <c r="E14" s="861">
        <v>53110</v>
      </c>
      <c r="F14" s="207">
        <f>(E14*30.126)/1000</f>
        <v>1599.99186</v>
      </c>
      <c r="G14" s="615">
        <v>53110</v>
      </c>
      <c r="H14" s="448">
        <f>G14*30.126/1000</f>
        <v>1599.99186</v>
      </c>
      <c r="I14" s="14">
        <v>53110</v>
      </c>
      <c r="J14" s="14">
        <f t="shared" si="5"/>
        <v>1599.99186</v>
      </c>
      <c r="K14" s="14">
        <v>10000</v>
      </c>
      <c r="L14" s="14">
        <f>K14*30.126/1000</f>
        <v>301.26</v>
      </c>
      <c r="M14" s="14">
        <v>10000</v>
      </c>
      <c r="N14" s="14">
        <f>M14*30.126/1000</f>
        <v>301.26</v>
      </c>
      <c r="O14" s="14"/>
      <c r="P14" s="1528"/>
      <c r="Q14" s="38"/>
      <c r="R14" s="39"/>
      <c r="S14" s="855"/>
      <c r="T14" s="14"/>
      <c r="U14" s="14"/>
      <c r="V14" s="207"/>
    </row>
    <row r="15" spans="1:22" s="26" customFormat="1" ht="15" customHeight="1">
      <c r="A15" s="209"/>
      <c r="B15" s="839" t="s">
        <v>547</v>
      </c>
      <c r="C15" s="883"/>
      <c r="D15" s="2305"/>
      <c r="E15" s="861">
        <v>4647</v>
      </c>
      <c r="F15" s="207">
        <f>(E15*30.126)/1000</f>
        <v>139.995522</v>
      </c>
      <c r="G15" s="615">
        <v>5500</v>
      </c>
      <c r="H15" s="448">
        <f>G15*30.126/1000</f>
        <v>165.693</v>
      </c>
      <c r="I15" s="14">
        <v>5500</v>
      </c>
      <c r="J15" s="14">
        <f t="shared" si="5"/>
        <v>165.693</v>
      </c>
      <c r="K15" s="14">
        <v>5000</v>
      </c>
      <c r="L15" s="14">
        <f>K15*30.126/1000</f>
        <v>150.63</v>
      </c>
      <c r="M15" s="14">
        <v>5000</v>
      </c>
      <c r="N15" s="14">
        <f>M15*30.126/1000</f>
        <v>150.63</v>
      </c>
      <c r="O15" s="14">
        <v>5500</v>
      </c>
      <c r="P15" s="1528">
        <f>O15*30.126/1000</f>
        <v>165.693</v>
      </c>
      <c r="Q15" s="38">
        <v>5500</v>
      </c>
      <c r="R15" s="39">
        <f>Q15*30.126/1000</f>
        <v>165.693</v>
      </c>
      <c r="S15" s="855"/>
      <c r="T15" s="14"/>
      <c r="U15" s="14"/>
      <c r="V15" s="207"/>
    </row>
    <row r="16" spans="1:22" s="26" customFormat="1" ht="15" customHeight="1">
      <c r="A16" s="209"/>
      <c r="B16" s="834" t="s">
        <v>140</v>
      </c>
      <c r="C16" s="883">
        <v>156</v>
      </c>
      <c r="D16" s="2305">
        <v>250</v>
      </c>
      <c r="E16" s="861">
        <f>9958+996</f>
        <v>10954</v>
      </c>
      <c r="F16" s="207">
        <f>(E16*30.126)/1000</f>
        <v>330.00020400000005</v>
      </c>
      <c r="G16" s="615">
        <v>6971</v>
      </c>
      <c r="H16" s="448">
        <f>G16*30.126/1000</f>
        <v>210.00834600000002</v>
      </c>
      <c r="I16" s="14">
        <v>4979</v>
      </c>
      <c r="J16" s="14">
        <f t="shared" si="5"/>
        <v>149.997354</v>
      </c>
      <c r="K16" s="14">
        <v>5332</v>
      </c>
      <c r="L16" s="14">
        <f>K16*30.126/1000</f>
        <v>160.631832</v>
      </c>
      <c r="M16" s="14">
        <v>5332</v>
      </c>
      <c r="N16" s="14">
        <f>M16*30.126/1000</f>
        <v>160.631832</v>
      </c>
      <c r="O16" s="14">
        <v>4979</v>
      </c>
      <c r="P16" s="1528">
        <f>O16*30.126/1000</f>
        <v>149.997354</v>
      </c>
      <c r="Q16" s="38">
        <v>5975</v>
      </c>
      <c r="R16" s="39">
        <f>Q16*30.126/1000</f>
        <v>180.00285</v>
      </c>
      <c r="S16" s="855"/>
      <c r="T16" s="14"/>
      <c r="U16" s="14"/>
      <c r="V16" s="207"/>
    </row>
    <row r="17" spans="1:22" s="26" customFormat="1" ht="15" customHeight="1">
      <c r="A17" s="209"/>
      <c r="B17" s="834" t="s">
        <v>688</v>
      </c>
      <c r="C17" s="883">
        <v>375</v>
      </c>
      <c r="D17" s="2305">
        <v>746</v>
      </c>
      <c r="E17" s="861">
        <v>15269</v>
      </c>
      <c r="F17" s="207">
        <f>(E17*30.126)/1000</f>
        <v>459.993894</v>
      </c>
      <c r="G17" s="615">
        <v>9950</v>
      </c>
      <c r="H17" s="448">
        <f>G17*30.126/1000</f>
        <v>299.75370000000004</v>
      </c>
      <c r="I17" s="14">
        <v>6639</v>
      </c>
      <c r="J17" s="14">
        <f t="shared" si="5"/>
        <v>200.00651399999998</v>
      </c>
      <c r="K17" s="14">
        <v>8298</v>
      </c>
      <c r="L17" s="14">
        <f>K17*30.126/1000</f>
        <v>249.98554800000002</v>
      </c>
      <c r="M17" s="14">
        <v>9958</v>
      </c>
      <c r="N17" s="14">
        <f>M17*30.126/1000</f>
        <v>299.994708</v>
      </c>
      <c r="O17" s="14">
        <v>6639</v>
      </c>
      <c r="P17" s="1528">
        <f>O17*30.126/1000</f>
        <v>200.00651399999998</v>
      </c>
      <c r="Q17" s="38">
        <v>6639</v>
      </c>
      <c r="R17" s="39">
        <f>Q17*30.126/1000</f>
        <v>200.00651399999998</v>
      </c>
      <c r="S17" s="855"/>
      <c r="T17" s="14"/>
      <c r="U17" s="14"/>
      <c r="V17" s="207"/>
    </row>
    <row r="18" spans="1:22" s="6" customFormat="1" ht="15" customHeight="1">
      <c r="A18" s="187" t="s">
        <v>696</v>
      </c>
      <c r="B18" s="1336" t="s">
        <v>272</v>
      </c>
      <c r="C18" s="783">
        <f aca="true" t="shared" si="6" ref="C18:N18">SUM(C19:C20)</f>
        <v>1170</v>
      </c>
      <c r="D18" s="458">
        <f t="shared" si="6"/>
        <v>1505</v>
      </c>
      <c r="E18" s="861">
        <f t="shared" si="6"/>
        <v>48785</v>
      </c>
      <c r="F18" s="207">
        <f t="shared" si="6"/>
        <v>1469.6969100000001</v>
      </c>
      <c r="G18" s="615">
        <f t="shared" si="6"/>
        <v>31500</v>
      </c>
      <c r="H18" s="448">
        <f t="shared" si="6"/>
        <v>948.969</v>
      </c>
      <c r="I18" s="14">
        <f t="shared" si="6"/>
        <v>28260</v>
      </c>
      <c r="J18" s="14">
        <f t="shared" si="6"/>
        <v>851.36076</v>
      </c>
      <c r="K18" s="14">
        <f t="shared" si="6"/>
        <v>24895</v>
      </c>
      <c r="L18" s="14">
        <f t="shared" si="6"/>
        <v>749.98677</v>
      </c>
      <c r="M18" s="14">
        <f t="shared" si="6"/>
        <v>24895</v>
      </c>
      <c r="N18" s="14">
        <f t="shared" si="6"/>
        <v>749.98677</v>
      </c>
      <c r="O18" s="14">
        <f>SUM(O19:O20)</f>
        <v>28260</v>
      </c>
      <c r="P18" s="1528">
        <f>SUM(P19:P20)</f>
        <v>851.36076</v>
      </c>
      <c r="Q18" s="38">
        <f>SUM(Q19:Q20)</f>
        <v>28260</v>
      </c>
      <c r="R18" s="39">
        <f>SUM(R19:R20)</f>
        <v>851.36076</v>
      </c>
      <c r="S18" s="855"/>
      <c r="T18" s="14"/>
      <c r="U18" s="14"/>
      <c r="V18" s="207"/>
    </row>
    <row r="19" spans="1:22" s="6" customFormat="1" ht="15.75" customHeight="1">
      <c r="A19" s="194"/>
      <c r="B19" s="834" t="s">
        <v>684</v>
      </c>
      <c r="C19" s="883">
        <v>377</v>
      </c>
      <c r="D19" s="2305">
        <v>404</v>
      </c>
      <c r="E19" s="772">
        <v>14937</v>
      </c>
      <c r="F19" s="139">
        <f>(E19*30.126)/1000</f>
        <v>449.99206200000003</v>
      </c>
      <c r="G19" s="446">
        <v>13200</v>
      </c>
      <c r="H19" s="470">
        <f>G19*30.126/1000</f>
        <v>397.6632</v>
      </c>
      <c r="I19" s="9">
        <v>9960</v>
      </c>
      <c r="J19" s="9">
        <f>I19*30.126/1000</f>
        <v>300.05496</v>
      </c>
      <c r="K19" s="9">
        <v>9958</v>
      </c>
      <c r="L19" s="9">
        <f>K19*30.126/1000</f>
        <v>299.994708</v>
      </c>
      <c r="M19" s="9">
        <v>9958</v>
      </c>
      <c r="N19" s="9">
        <f>M19*30.126/1000</f>
        <v>299.994708</v>
      </c>
      <c r="O19" s="9">
        <v>9960</v>
      </c>
      <c r="P19" s="382">
        <f>O19*30.126/1000</f>
        <v>300.05496</v>
      </c>
      <c r="Q19" s="35">
        <v>9960</v>
      </c>
      <c r="R19" s="8">
        <f>Q19*30.126/1000</f>
        <v>300.05496</v>
      </c>
      <c r="S19" s="782"/>
      <c r="T19" s="9"/>
      <c r="U19" s="9"/>
      <c r="V19" s="139"/>
    </row>
    <row r="20" spans="1:22" s="6" customFormat="1" ht="15.75" customHeight="1">
      <c r="A20" s="210"/>
      <c r="B20" s="834" t="s">
        <v>683</v>
      </c>
      <c r="C20" s="783">
        <f aca="true" t="shared" si="7" ref="C20:N20">SUM(C21:C25)</f>
        <v>793</v>
      </c>
      <c r="D20" s="458">
        <f t="shared" si="7"/>
        <v>1101</v>
      </c>
      <c r="E20" s="772">
        <f t="shared" si="7"/>
        <v>33848</v>
      </c>
      <c r="F20" s="139">
        <f t="shared" si="7"/>
        <v>1019.7048480000001</v>
      </c>
      <c r="G20" s="446">
        <f t="shared" si="7"/>
        <v>18300</v>
      </c>
      <c r="H20" s="470">
        <f t="shared" si="7"/>
        <v>551.3058</v>
      </c>
      <c r="I20" s="9">
        <f t="shared" si="7"/>
        <v>18300</v>
      </c>
      <c r="J20" s="9">
        <f t="shared" si="7"/>
        <v>551.3058</v>
      </c>
      <c r="K20" s="9">
        <f t="shared" si="7"/>
        <v>14937</v>
      </c>
      <c r="L20" s="9">
        <f t="shared" si="7"/>
        <v>449.99206200000003</v>
      </c>
      <c r="M20" s="9">
        <f t="shared" si="7"/>
        <v>14937</v>
      </c>
      <c r="N20" s="9">
        <f t="shared" si="7"/>
        <v>449.99206200000003</v>
      </c>
      <c r="O20" s="9">
        <f>SUM(O21:O25)</f>
        <v>18300</v>
      </c>
      <c r="P20" s="382">
        <f>SUM(P21:P25)</f>
        <v>551.3058</v>
      </c>
      <c r="Q20" s="35">
        <f>SUM(Q21:Q25)</f>
        <v>18300</v>
      </c>
      <c r="R20" s="8">
        <f>SUM(R21:R25)</f>
        <v>551.3058</v>
      </c>
      <c r="S20" s="782"/>
      <c r="T20" s="9"/>
      <c r="U20" s="9"/>
      <c r="V20" s="139"/>
    </row>
    <row r="21" spans="1:22" s="6" customFormat="1" ht="15.75" customHeight="1">
      <c r="A21" s="140"/>
      <c r="B21" s="839" t="s">
        <v>548</v>
      </c>
      <c r="C21" s="883">
        <v>50</v>
      </c>
      <c r="D21" s="2305"/>
      <c r="E21" s="772">
        <v>664</v>
      </c>
      <c r="F21" s="139">
        <f>(E21*30.126)/1000</f>
        <v>20.003664</v>
      </c>
      <c r="G21" s="446"/>
      <c r="H21" s="470"/>
      <c r="I21" s="9"/>
      <c r="J21" s="9"/>
      <c r="K21" s="9"/>
      <c r="L21" s="9"/>
      <c r="M21" s="9"/>
      <c r="N21" s="9"/>
      <c r="O21" s="9"/>
      <c r="P21" s="382"/>
      <c r="Q21" s="35"/>
      <c r="R21" s="8"/>
      <c r="S21" s="782"/>
      <c r="T21" s="9"/>
      <c r="U21" s="9"/>
      <c r="V21" s="139"/>
    </row>
    <row r="22" spans="1:22" s="6" customFormat="1" ht="15.75" customHeight="1">
      <c r="A22" s="140"/>
      <c r="B22" s="839" t="s">
        <v>274</v>
      </c>
      <c r="C22" s="883"/>
      <c r="D22" s="2305"/>
      <c r="E22" s="772">
        <v>332</v>
      </c>
      <c r="F22" s="139">
        <f>(E22*30.126)/1000</f>
        <v>10.001832</v>
      </c>
      <c r="G22" s="446"/>
      <c r="H22" s="470"/>
      <c r="I22" s="9"/>
      <c r="J22" s="9"/>
      <c r="K22" s="9"/>
      <c r="L22" s="9"/>
      <c r="M22" s="9"/>
      <c r="N22" s="9"/>
      <c r="O22" s="9"/>
      <c r="P22" s="382"/>
      <c r="Q22" s="35"/>
      <c r="R22" s="8"/>
      <c r="S22" s="782"/>
      <c r="T22" s="9"/>
      <c r="U22" s="9"/>
      <c r="V22" s="139"/>
    </row>
    <row r="23" spans="1:22" s="6" customFormat="1" ht="15.75" customHeight="1">
      <c r="A23" s="140"/>
      <c r="B23" s="839" t="s">
        <v>549</v>
      </c>
      <c r="C23" s="883">
        <v>391</v>
      </c>
      <c r="D23" s="2305">
        <v>356</v>
      </c>
      <c r="E23" s="772">
        <v>13500</v>
      </c>
      <c r="F23" s="139">
        <f>(E23*30.126)/1000</f>
        <v>406.701</v>
      </c>
      <c r="G23" s="446">
        <v>8300</v>
      </c>
      <c r="H23" s="470">
        <f>G23*30.126/1000</f>
        <v>250.0458</v>
      </c>
      <c r="I23" s="9">
        <v>8300</v>
      </c>
      <c r="J23" s="9">
        <f>I23*30.126/1000</f>
        <v>250.0458</v>
      </c>
      <c r="K23" s="9">
        <v>4979</v>
      </c>
      <c r="L23" s="9">
        <f>K23*30.126/1000</f>
        <v>149.997354</v>
      </c>
      <c r="M23" s="9">
        <v>4979</v>
      </c>
      <c r="N23" s="9">
        <f>M23*30.126/1000</f>
        <v>149.997354</v>
      </c>
      <c r="O23" s="9">
        <v>8300</v>
      </c>
      <c r="P23" s="382">
        <f>O23*30.126/1000</f>
        <v>250.0458</v>
      </c>
      <c r="Q23" s="35">
        <v>8300</v>
      </c>
      <c r="R23" s="8">
        <f>Q23*30.126/1000</f>
        <v>250.0458</v>
      </c>
      <c r="S23" s="782"/>
      <c r="T23" s="9"/>
      <c r="U23" s="9"/>
      <c r="V23" s="139"/>
    </row>
    <row r="24" spans="1:22" s="6" customFormat="1" ht="15.75" customHeight="1">
      <c r="A24" s="140"/>
      <c r="B24" s="839" t="s">
        <v>275</v>
      </c>
      <c r="C24" s="883">
        <v>349</v>
      </c>
      <c r="D24" s="2305">
        <v>499</v>
      </c>
      <c r="E24" s="772">
        <v>19352</v>
      </c>
      <c r="F24" s="139">
        <f>(E24*30.126)/1000</f>
        <v>582.9983520000001</v>
      </c>
      <c r="G24" s="446">
        <v>10000</v>
      </c>
      <c r="H24" s="470">
        <f>G24*30.126/1000</f>
        <v>301.26</v>
      </c>
      <c r="I24" s="9">
        <v>10000</v>
      </c>
      <c r="J24" s="9">
        <f>I24*30.126/1000</f>
        <v>301.26</v>
      </c>
      <c r="K24" s="9">
        <v>9958</v>
      </c>
      <c r="L24" s="9">
        <f>K24*30.126/1000</f>
        <v>299.994708</v>
      </c>
      <c r="M24" s="9">
        <v>9958</v>
      </c>
      <c r="N24" s="9">
        <f>M24*30.126/1000</f>
        <v>299.994708</v>
      </c>
      <c r="O24" s="9">
        <v>10000</v>
      </c>
      <c r="P24" s="382">
        <f>O24*30.126/1000</f>
        <v>301.26</v>
      </c>
      <c r="Q24" s="35">
        <v>10000</v>
      </c>
      <c r="R24" s="8">
        <f>Q24*30.126/1000</f>
        <v>301.26</v>
      </c>
      <c r="S24" s="782"/>
      <c r="T24" s="9"/>
      <c r="U24" s="9"/>
      <c r="V24" s="139"/>
    </row>
    <row r="25" spans="1:22" s="6" customFormat="1" ht="15.75" customHeight="1" hidden="1">
      <c r="A25" s="197"/>
      <c r="B25" s="839" t="s">
        <v>667</v>
      </c>
      <c r="C25" s="883">
        <v>3</v>
      </c>
      <c r="D25" s="2305">
        <v>246</v>
      </c>
      <c r="E25" s="772"/>
      <c r="F25" s="139"/>
      <c r="G25" s="446"/>
      <c r="H25" s="470"/>
      <c r="I25" s="9"/>
      <c r="J25" s="9"/>
      <c r="K25" s="9"/>
      <c r="L25" s="9"/>
      <c r="M25" s="9"/>
      <c r="N25" s="9"/>
      <c r="O25" s="9"/>
      <c r="P25" s="382"/>
      <c r="Q25" s="35"/>
      <c r="R25" s="8"/>
      <c r="S25" s="782"/>
      <c r="T25" s="9"/>
      <c r="U25" s="9"/>
      <c r="V25" s="139"/>
    </row>
    <row r="26" spans="1:23" s="6" customFormat="1" ht="15.75" customHeight="1">
      <c r="A26" s="187" t="s">
        <v>697</v>
      </c>
      <c r="B26" s="1336" t="s">
        <v>675</v>
      </c>
      <c r="C26" s="783">
        <f aca="true" t="shared" si="8" ref="C26:R26">SUM(C27:C30)</f>
        <v>679</v>
      </c>
      <c r="D26" s="458">
        <f t="shared" si="8"/>
        <v>819</v>
      </c>
      <c r="E26" s="773">
        <f t="shared" si="8"/>
        <v>19916</v>
      </c>
      <c r="F26" s="481">
        <f t="shared" si="8"/>
        <v>599.989416</v>
      </c>
      <c r="G26" s="466">
        <f t="shared" si="8"/>
        <v>19917</v>
      </c>
      <c r="H26" s="471">
        <f t="shared" si="8"/>
        <v>600.019542</v>
      </c>
      <c r="I26" s="73">
        <f t="shared" si="8"/>
        <v>17540</v>
      </c>
      <c r="J26" s="73">
        <f t="shared" si="8"/>
        <v>528.41004</v>
      </c>
      <c r="K26" s="73">
        <f t="shared" si="8"/>
        <v>17925</v>
      </c>
      <c r="L26" s="73">
        <f t="shared" si="8"/>
        <v>540.00855</v>
      </c>
      <c r="M26" s="73">
        <f t="shared" si="8"/>
        <v>17925</v>
      </c>
      <c r="N26" s="73">
        <f t="shared" si="8"/>
        <v>540.00855</v>
      </c>
      <c r="O26" s="73">
        <f t="shared" si="8"/>
        <v>17540</v>
      </c>
      <c r="P26" s="458">
        <f t="shared" si="8"/>
        <v>528.41004</v>
      </c>
      <c r="Q26" s="663">
        <f t="shared" si="8"/>
        <v>17540</v>
      </c>
      <c r="R26" s="74">
        <f t="shared" si="8"/>
        <v>528.41004</v>
      </c>
      <c r="S26" s="783"/>
      <c r="T26" s="73"/>
      <c r="U26" s="73"/>
      <c r="V26" s="481"/>
      <c r="W26" s="4"/>
    </row>
    <row r="27" spans="1:22" s="6" customFormat="1" ht="15.75" customHeight="1">
      <c r="A27" s="200"/>
      <c r="B27" s="834" t="s">
        <v>689</v>
      </c>
      <c r="C27" s="883">
        <v>181</v>
      </c>
      <c r="D27" s="2305">
        <v>325</v>
      </c>
      <c r="E27" s="772">
        <v>4979</v>
      </c>
      <c r="F27" s="139">
        <f>(E27*30.126)/1000</f>
        <v>149.997354</v>
      </c>
      <c r="G27" s="446">
        <v>3983</v>
      </c>
      <c r="H27" s="470">
        <f>G27*30.126/1000</f>
        <v>119.99185800000001</v>
      </c>
      <c r="I27" s="9">
        <v>3320</v>
      </c>
      <c r="J27" s="9">
        <f>I27*30.126/1000</f>
        <v>100.01832</v>
      </c>
      <c r="K27" s="9">
        <v>3319</v>
      </c>
      <c r="L27" s="9">
        <f>K27*30.126/1000</f>
        <v>99.98819400000001</v>
      </c>
      <c r="M27" s="9">
        <v>3319</v>
      </c>
      <c r="N27" s="9">
        <f>M27*30.126/1000</f>
        <v>99.98819400000001</v>
      </c>
      <c r="O27" s="9">
        <v>3320</v>
      </c>
      <c r="P27" s="382">
        <f>O27*30.126/1000</f>
        <v>100.01832</v>
      </c>
      <c r="Q27" s="35">
        <v>3320</v>
      </c>
      <c r="R27" s="8">
        <f>Q27*30.126/1000</f>
        <v>100.01832</v>
      </c>
      <c r="S27" s="782"/>
      <c r="T27" s="9"/>
      <c r="U27" s="9"/>
      <c r="V27" s="139"/>
    </row>
    <row r="28" spans="1:22" s="6" customFormat="1" ht="15.75" customHeight="1">
      <c r="A28" s="140"/>
      <c r="B28" s="834" t="s">
        <v>690</v>
      </c>
      <c r="C28" s="883">
        <v>53</v>
      </c>
      <c r="D28" s="2305">
        <v>29</v>
      </c>
      <c r="E28" s="772">
        <v>332</v>
      </c>
      <c r="F28" s="139">
        <f>(E28*30.126)/1000</f>
        <v>10.001832</v>
      </c>
      <c r="G28" s="446">
        <v>1660</v>
      </c>
      <c r="H28" s="470">
        <f>G28*30.126/1000</f>
        <v>50.00916</v>
      </c>
      <c r="I28" s="9">
        <v>1660</v>
      </c>
      <c r="J28" s="9">
        <f>I28*30.126/1000</f>
        <v>50.00916</v>
      </c>
      <c r="K28" s="9">
        <v>1660</v>
      </c>
      <c r="L28" s="9">
        <f>K28*30.126/1000</f>
        <v>50.00916</v>
      </c>
      <c r="M28" s="9">
        <v>1660</v>
      </c>
      <c r="N28" s="9">
        <f>M28*30.126/1000</f>
        <v>50.00916</v>
      </c>
      <c r="O28" s="9">
        <v>1660</v>
      </c>
      <c r="P28" s="382">
        <f>O28*30.126/1000</f>
        <v>50.00916</v>
      </c>
      <c r="Q28" s="35">
        <v>1660</v>
      </c>
      <c r="R28" s="8">
        <f>Q28*30.126/1000</f>
        <v>50.00916</v>
      </c>
      <c r="S28" s="782"/>
      <c r="T28" s="9"/>
      <c r="U28" s="9"/>
      <c r="V28" s="139"/>
    </row>
    <row r="29" spans="1:22" s="6" customFormat="1" ht="15.75" customHeight="1">
      <c r="A29" s="140"/>
      <c r="B29" s="834" t="s">
        <v>691</v>
      </c>
      <c r="C29" s="883">
        <v>354</v>
      </c>
      <c r="D29" s="2305">
        <v>380</v>
      </c>
      <c r="E29" s="772">
        <v>11618</v>
      </c>
      <c r="F29" s="139">
        <f>(E29*30.126)/1000</f>
        <v>350.003868</v>
      </c>
      <c r="G29" s="446">
        <v>11618</v>
      </c>
      <c r="H29" s="470">
        <f>G29*30.126/1000</f>
        <v>350.003868</v>
      </c>
      <c r="I29" s="9">
        <v>9960</v>
      </c>
      <c r="J29" s="9">
        <f>I29*30.126/1000</f>
        <v>300.05496</v>
      </c>
      <c r="K29" s="9">
        <v>10622</v>
      </c>
      <c r="L29" s="9">
        <f>K29*30.126/1000</f>
        <v>319.998372</v>
      </c>
      <c r="M29" s="9">
        <v>10622</v>
      </c>
      <c r="N29" s="9">
        <f>M29*30.126/1000</f>
        <v>319.998372</v>
      </c>
      <c r="O29" s="9">
        <v>9960</v>
      </c>
      <c r="P29" s="382">
        <f>O29*30.126/1000</f>
        <v>300.05496</v>
      </c>
      <c r="Q29" s="35">
        <v>9960</v>
      </c>
      <c r="R29" s="8">
        <f>Q29*30.126/1000</f>
        <v>300.05496</v>
      </c>
      <c r="S29" s="782"/>
      <c r="T29" s="9"/>
      <c r="U29" s="9"/>
      <c r="V29" s="139"/>
    </row>
    <row r="30" spans="1:22" s="6" customFormat="1" ht="15.75" customHeight="1">
      <c r="A30" s="140"/>
      <c r="B30" s="834" t="s">
        <v>692</v>
      </c>
      <c r="C30" s="883">
        <v>91</v>
      </c>
      <c r="D30" s="2305">
        <v>85</v>
      </c>
      <c r="E30" s="772">
        <v>2987</v>
      </c>
      <c r="F30" s="139">
        <f>(E30*30.126)/1000</f>
        <v>89.98636200000001</v>
      </c>
      <c r="G30" s="446">
        <v>2656</v>
      </c>
      <c r="H30" s="470">
        <f>G30*30.126/1000</f>
        <v>80.014656</v>
      </c>
      <c r="I30" s="9">
        <v>2600</v>
      </c>
      <c r="J30" s="9">
        <f>I30*30.126/1000</f>
        <v>78.3276</v>
      </c>
      <c r="K30" s="9">
        <v>2324</v>
      </c>
      <c r="L30" s="9">
        <f>K30*30.126/1000</f>
        <v>70.01282400000001</v>
      </c>
      <c r="M30" s="9">
        <v>2324</v>
      </c>
      <c r="N30" s="9">
        <f>M30*30.126/1000</f>
        <v>70.01282400000001</v>
      </c>
      <c r="O30" s="9">
        <v>2600</v>
      </c>
      <c r="P30" s="382">
        <f>O30*30.126/1000</f>
        <v>78.3276</v>
      </c>
      <c r="Q30" s="35">
        <v>2600</v>
      </c>
      <c r="R30" s="8">
        <f>Q30*30.126/1000</f>
        <v>78.3276</v>
      </c>
      <c r="S30" s="782"/>
      <c r="T30" s="9"/>
      <c r="U30" s="9"/>
      <c r="V30" s="139"/>
    </row>
    <row r="31" spans="1:22" s="6" customFormat="1" ht="15.75" customHeight="1">
      <c r="A31" s="187" t="s">
        <v>698</v>
      </c>
      <c r="B31" s="968" t="s">
        <v>538</v>
      </c>
      <c r="C31" s="783">
        <f aca="true" t="shared" si="9" ref="C31:N31">SUM(C32:C34)</f>
        <v>2000</v>
      </c>
      <c r="D31" s="458">
        <f t="shared" si="9"/>
        <v>2024</v>
      </c>
      <c r="E31" s="772">
        <f t="shared" si="9"/>
        <v>82653</v>
      </c>
      <c r="F31" s="139">
        <f t="shared" si="9"/>
        <v>2490.004278</v>
      </c>
      <c r="G31" s="446">
        <f t="shared" si="9"/>
        <v>74690</v>
      </c>
      <c r="H31" s="470">
        <f t="shared" si="9"/>
        <v>2250.1109400000005</v>
      </c>
      <c r="I31" s="9">
        <f t="shared" si="9"/>
        <v>74690</v>
      </c>
      <c r="J31" s="9">
        <f t="shared" si="9"/>
        <v>2250.1109400000005</v>
      </c>
      <c r="K31" s="9">
        <f t="shared" si="9"/>
        <v>74690</v>
      </c>
      <c r="L31" s="9">
        <f t="shared" si="9"/>
        <v>2250.1109400000005</v>
      </c>
      <c r="M31" s="9">
        <f t="shared" si="9"/>
        <v>74690</v>
      </c>
      <c r="N31" s="9">
        <f t="shared" si="9"/>
        <v>2250.1109400000005</v>
      </c>
      <c r="O31" s="9">
        <f>SUM(O32:O34)</f>
        <v>74690</v>
      </c>
      <c r="P31" s="382">
        <f>SUM(P32:P34)</f>
        <v>2250.1109400000005</v>
      </c>
      <c r="Q31" s="35">
        <f>SUM(Q32:Q34)</f>
        <v>74690</v>
      </c>
      <c r="R31" s="8">
        <f>SUM(R32:R34)</f>
        <v>2250.1109400000005</v>
      </c>
      <c r="S31" s="782"/>
      <c r="T31" s="9"/>
      <c r="U31" s="9"/>
      <c r="V31" s="139"/>
    </row>
    <row r="32" spans="1:22" s="6" customFormat="1" ht="15.75" customHeight="1">
      <c r="A32" s="198"/>
      <c r="B32" s="834" t="s">
        <v>693</v>
      </c>
      <c r="C32" s="883"/>
      <c r="D32" s="2305"/>
      <c r="E32" s="772">
        <v>9626</v>
      </c>
      <c r="F32" s="139">
        <f>(E32*30.126)/1000</f>
        <v>289.99287599999997</v>
      </c>
      <c r="G32" s="446">
        <v>1660</v>
      </c>
      <c r="H32" s="470">
        <f>G32*30.126/1000</f>
        <v>50.00916</v>
      </c>
      <c r="I32" s="9">
        <v>1660</v>
      </c>
      <c r="J32" s="9">
        <f>I32*30.126/1000</f>
        <v>50.00916</v>
      </c>
      <c r="K32" s="9">
        <v>1660</v>
      </c>
      <c r="L32" s="9">
        <f>K32*30.126/1000</f>
        <v>50.00916</v>
      </c>
      <c r="M32" s="9">
        <v>1660</v>
      </c>
      <c r="N32" s="9">
        <f>M32*30.126/1000</f>
        <v>50.00916</v>
      </c>
      <c r="O32" s="9">
        <v>1660</v>
      </c>
      <c r="P32" s="382">
        <f>O32*30.126/1000</f>
        <v>50.00916</v>
      </c>
      <c r="Q32" s="35">
        <v>1660</v>
      </c>
      <c r="R32" s="8">
        <f>Q32*30.126/1000</f>
        <v>50.00916</v>
      </c>
      <c r="S32" s="782"/>
      <c r="T32" s="9"/>
      <c r="U32" s="9"/>
      <c r="V32" s="139"/>
    </row>
    <row r="33" spans="1:22" s="6" customFormat="1" ht="15.75" customHeight="1">
      <c r="A33" s="190"/>
      <c r="B33" s="834" t="s">
        <v>550</v>
      </c>
      <c r="C33" s="883">
        <v>2000</v>
      </c>
      <c r="D33" s="2305">
        <v>2024</v>
      </c>
      <c r="E33" s="772">
        <v>73027</v>
      </c>
      <c r="F33" s="139">
        <f>(E33*30.126)/1000</f>
        <v>2200.011402</v>
      </c>
      <c r="G33" s="446">
        <v>73030</v>
      </c>
      <c r="H33" s="470">
        <f>G33*30.126/1000</f>
        <v>2200.1017800000004</v>
      </c>
      <c r="I33" s="9">
        <v>73030</v>
      </c>
      <c r="J33" s="9">
        <f>I33*30.126/1000</f>
        <v>2200.1017800000004</v>
      </c>
      <c r="K33" s="9">
        <v>73030</v>
      </c>
      <c r="L33" s="9">
        <f>K33*30.126/1000</f>
        <v>2200.1017800000004</v>
      </c>
      <c r="M33" s="9">
        <v>73030</v>
      </c>
      <c r="N33" s="9">
        <f>M33*30.126/1000</f>
        <v>2200.1017800000004</v>
      </c>
      <c r="O33" s="9">
        <v>73030</v>
      </c>
      <c r="P33" s="382">
        <f>O33*30.126/1000</f>
        <v>2200.1017800000004</v>
      </c>
      <c r="Q33" s="35">
        <v>73030</v>
      </c>
      <c r="R33" s="8">
        <f>Q33*30.126/1000</f>
        <v>2200.1017800000004</v>
      </c>
      <c r="S33" s="782"/>
      <c r="T33" s="9"/>
      <c r="U33" s="9"/>
      <c r="V33" s="139"/>
    </row>
    <row r="34" spans="1:22" s="6" customFormat="1" ht="15.75" customHeight="1" hidden="1">
      <c r="A34" s="211"/>
      <c r="B34" s="834" t="s">
        <v>694</v>
      </c>
      <c r="C34" s="883"/>
      <c r="D34" s="2305"/>
      <c r="E34" s="772"/>
      <c r="F34" s="139"/>
      <c r="G34" s="446"/>
      <c r="H34" s="470"/>
      <c r="I34" s="9"/>
      <c r="J34" s="9">
        <f>I34*30.126/1000</f>
        <v>0</v>
      </c>
      <c r="K34" s="9"/>
      <c r="L34" s="9"/>
      <c r="M34" s="9"/>
      <c r="N34" s="9"/>
      <c r="O34" s="9"/>
      <c r="P34" s="382">
        <f>O34*30.126/1000</f>
        <v>0</v>
      </c>
      <c r="Q34" s="35"/>
      <c r="R34" s="8">
        <f>Q34*30.126/1000</f>
        <v>0</v>
      </c>
      <c r="S34" s="782"/>
      <c r="T34" s="9"/>
      <c r="U34" s="9"/>
      <c r="V34" s="139"/>
    </row>
    <row r="35" spans="1:22" s="6" customFormat="1" ht="15.75" customHeight="1">
      <c r="A35" s="187" t="s">
        <v>699</v>
      </c>
      <c r="B35" s="324" t="s">
        <v>677</v>
      </c>
      <c r="C35" s="883">
        <v>497</v>
      </c>
      <c r="D35" s="2305">
        <v>793</v>
      </c>
      <c r="E35" s="772">
        <v>19584</v>
      </c>
      <c r="F35" s="139">
        <f>(E35*30.126)/1000</f>
        <v>589.9875840000001</v>
      </c>
      <c r="G35" s="446">
        <v>18257</v>
      </c>
      <c r="H35" s="470">
        <f>G35*30.126/1000</f>
        <v>550.0103819999999</v>
      </c>
      <c r="I35" s="9">
        <v>18257</v>
      </c>
      <c r="J35" s="9">
        <f>I35*30.126/1000</f>
        <v>550.0103819999999</v>
      </c>
      <c r="K35" s="9">
        <v>18257</v>
      </c>
      <c r="L35" s="9">
        <f>K35*30.126/1000</f>
        <v>550.0103819999999</v>
      </c>
      <c r="M35" s="9">
        <v>18257</v>
      </c>
      <c r="N35" s="9">
        <f>M35*30.126/1000</f>
        <v>550.0103819999999</v>
      </c>
      <c r="O35" s="9">
        <v>18257</v>
      </c>
      <c r="P35" s="382">
        <f>O35*30.126/1000</f>
        <v>550.0103819999999</v>
      </c>
      <c r="Q35" s="35">
        <v>18257</v>
      </c>
      <c r="R35" s="8">
        <f>Q35*30.126/1000</f>
        <v>550.0103819999999</v>
      </c>
      <c r="S35" s="782"/>
      <c r="T35" s="9"/>
      <c r="U35" s="9"/>
      <c r="V35" s="139"/>
    </row>
    <row r="36" spans="1:22" s="6" customFormat="1" ht="15.75" customHeight="1">
      <c r="A36" s="187" t="s">
        <v>700</v>
      </c>
      <c r="B36" s="324" t="s">
        <v>678</v>
      </c>
      <c r="C36" s="883">
        <v>270</v>
      </c>
      <c r="D36" s="2305">
        <v>796</v>
      </c>
      <c r="E36" s="772">
        <v>27143</v>
      </c>
      <c r="F36" s="139">
        <f>(E36*30.126)/1000</f>
        <v>817.710018</v>
      </c>
      <c r="G36" s="446"/>
      <c r="H36" s="470"/>
      <c r="I36" s="9"/>
      <c r="J36" s="9"/>
      <c r="K36" s="9"/>
      <c r="L36" s="9"/>
      <c r="M36" s="9"/>
      <c r="N36" s="9"/>
      <c r="O36" s="9"/>
      <c r="P36" s="382"/>
      <c r="Q36" s="35"/>
      <c r="R36" s="8"/>
      <c r="S36" s="782"/>
      <c r="T36" s="9"/>
      <c r="U36" s="9"/>
      <c r="V36" s="139"/>
    </row>
    <row r="37" spans="1:22" s="30" customFormat="1" ht="19.5" customHeight="1">
      <c r="A37" s="137" t="s">
        <v>668</v>
      </c>
      <c r="B37" s="832" t="s">
        <v>967</v>
      </c>
      <c r="C37" s="780">
        <f aca="true" t="shared" si="10" ref="C37:N37">SUM(C38:C39)</f>
        <v>512</v>
      </c>
      <c r="D37" s="456">
        <f t="shared" si="10"/>
        <v>472</v>
      </c>
      <c r="E37" s="770">
        <f t="shared" si="10"/>
        <v>15601</v>
      </c>
      <c r="F37" s="480">
        <f t="shared" si="10"/>
        <v>469.99572600000005</v>
      </c>
      <c r="G37" s="464">
        <f t="shared" si="10"/>
        <v>3300</v>
      </c>
      <c r="H37" s="20">
        <f t="shared" si="10"/>
        <v>99.4158</v>
      </c>
      <c r="I37" s="29">
        <f t="shared" si="10"/>
        <v>3300</v>
      </c>
      <c r="J37" s="29">
        <f t="shared" si="10"/>
        <v>99.4158</v>
      </c>
      <c r="K37" s="29">
        <f t="shared" si="10"/>
        <v>6639</v>
      </c>
      <c r="L37" s="29">
        <f t="shared" si="10"/>
        <v>200.00651399999998</v>
      </c>
      <c r="M37" s="29">
        <f t="shared" si="10"/>
        <v>6639</v>
      </c>
      <c r="N37" s="29">
        <f t="shared" si="10"/>
        <v>200.00651399999998</v>
      </c>
      <c r="O37" s="29">
        <f>SUM(O38:O39)</f>
        <v>3300</v>
      </c>
      <c r="P37" s="456">
        <f>SUM(P38:P39)</f>
        <v>99.4158</v>
      </c>
      <c r="Q37" s="20">
        <f>SUM(Q38:Q39)</f>
        <v>3300</v>
      </c>
      <c r="R37" s="18">
        <f>SUM(R38:R39)</f>
        <v>99.4158</v>
      </c>
      <c r="S37" s="780">
        <v>3300</v>
      </c>
      <c r="T37" s="29">
        <f>S37*30.126/1000</f>
        <v>99.4158</v>
      </c>
      <c r="U37" s="29">
        <v>3300</v>
      </c>
      <c r="V37" s="480">
        <f>U37*30.126/1000</f>
        <v>99.4158</v>
      </c>
    </row>
    <row r="38" spans="1:22" s="6" customFormat="1" ht="15.75" customHeight="1">
      <c r="A38" s="212"/>
      <c r="B38" s="1337" t="s">
        <v>551</v>
      </c>
      <c r="C38" s="1333">
        <v>500</v>
      </c>
      <c r="D38" s="2515">
        <v>472</v>
      </c>
      <c r="E38" s="771">
        <v>15601</v>
      </c>
      <c r="F38" s="185">
        <f>(E38*30.126)/1000</f>
        <v>469.99572600000005</v>
      </c>
      <c r="G38" s="465">
        <v>3300</v>
      </c>
      <c r="H38" s="469">
        <f>G38*30.126/1000</f>
        <v>99.4158</v>
      </c>
      <c r="I38" s="47">
        <v>3300</v>
      </c>
      <c r="J38" s="47">
        <f>I38*30.126/1000</f>
        <v>99.4158</v>
      </c>
      <c r="K38" s="47">
        <v>6639</v>
      </c>
      <c r="L38" s="47">
        <f>K38*30.126/1000</f>
        <v>200.00651399999998</v>
      </c>
      <c r="M38" s="47">
        <v>6639</v>
      </c>
      <c r="N38" s="47">
        <f>M38*30.126/1000</f>
        <v>200.00651399999998</v>
      </c>
      <c r="O38" s="47">
        <v>3300</v>
      </c>
      <c r="P38" s="457">
        <f>O38*30.126/1000</f>
        <v>99.4158</v>
      </c>
      <c r="Q38" s="1225">
        <v>3300</v>
      </c>
      <c r="R38" s="46">
        <f>Q38*30.126/1000</f>
        <v>99.4158</v>
      </c>
      <c r="S38" s="781"/>
      <c r="T38" s="47"/>
      <c r="U38" s="47"/>
      <c r="V38" s="185"/>
    </row>
    <row r="39" spans="1:22" s="6" customFormat="1" ht="15.75" customHeight="1" hidden="1">
      <c r="A39" s="199"/>
      <c r="B39" s="1338" t="s">
        <v>676</v>
      </c>
      <c r="C39" s="1334">
        <v>12</v>
      </c>
      <c r="D39" s="2516"/>
      <c r="E39" s="2517"/>
      <c r="F39" s="2518"/>
      <c r="G39" s="598"/>
      <c r="H39" s="687"/>
      <c r="I39" s="10"/>
      <c r="J39" s="10"/>
      <c r="K39" s="10"/>
      <c r="L39" s="10"/>
      <c r="M39" s="10"/>
      <c r="N39" s="10"/>
      <c r="O39" s="10"/>
      <c r="P39" s="1772"/>
      <c r="Q39" s="1241"/>
      <c r="R39" s="2525"/>
      <c r="S39" s="2520"/>
      <c r="T39" s="10"/>
      <c r="U39" s="10"/>
      <c r="V39" s="213"/>
    </row>
    <row r="40" spans="1:22" s="30" customFormat="1" ht="19.5" customHeight="1">
      <c r="A40" s="183" t="s">
        <v>679</v>
      </c>
      <c r="B40" s="831" t="s">
        <v>682</v>
      </c>
      <c r="C40" s="779">
        <f aca="true" t="shared" si="11" ref="C40:V40">C41</f>
        <v>740</v>
      </c>
      <c r="D40" s="455">
        <f t="shared" si="11"/>
        <v>1076</v>
      </c>
      <c r="E40" s="769">
        <f t="shared" si="11"/>
        <v>28547</v>
      </c>
      <c r="F40" s="479">
        <f t="shared" si="11"/>
        <v>860.0069219999999</v>
      </c>
      <c r="G40" s="463">
        <f t="shared" si="11"/>
        <v>21910</v>
      </c>
      <c r="H40" s="447">
        <f t="shared" si="11"/>
        <v>660.0606600000001</v>
      </c>
      <c r="I40" s="28">
        <f t="shared" si="11"/>
        <v>20250</v>
      </c>
      <c r="J40" s="28">
        <f t="shared" si="11"/>
        <v>610.0515</v>
      </c>
      <c r="K40" s="28">
        <f t="shared" si="11"/>
        <v>20300</v>
      </c>
      <c r="L40" s="28">
        <f t="shared" si="11"/>
        <v>611.5577999999999</v>
      </c>
      <c r="M40" s="28">
        <f t="shared" si="11"/>
        <v>21970</v>
      </c>
      <c r="N40" s="28">
        <f t="shared" si="11"/>
        <v>661.8682200000001</v>
      </c>
      <c r="O40" s="28">
        <f t="shared" si="11"/>
        <v>20250</v>
      </c>
      <c r="P40" s="455">
        <f t="shared" si="11"/>
        <v>610.0515</v>
      </c>
      <c r="Q40" s="19">
        <f t="shared" si="11"/>
        <v>20250</v>
      </c>
      <c r="R40" s="17">
        <f t="shared" si="11"/>
        <v>610.0515</v>
      </c>
      <c r="S40" s="779">
        <f t="shared" si="11"/>
        <v>20250</v>
      </c>
      <c r="T40" s="28">
        <f t="shared" si="11"/>
        <v>610.0515</v>
      </c>
      <c r="U40" s="28">
        <f t="shared" si="11"/>
        <v>20250</v>
      </c>
      <c r="V40" s="479">
        <f t="shared" si="11"/>
        <v>610.0515</v>
      </c>
    </row>
    <row r="41" spans="1:22" s="24" customFormat="1" ht="19.5" customHeight="1">
      <c r="A41" s="137" t="s">
        <v>680</v>
      </c>
      <c r="B41" s="832" t="s">
        <v>965</v>
      </c>
      <c r="C41" s="780">
        <f aca="true" t="shared" si="12" ref="C41:N41">SUM(C42:C44)</f>
        <v>740</v>
      </c>
      <c r="D41" s="456">
        <f t="shared" si="12"/>
        <v>1076</v>
      </c>
      <c r="E41" s="770">
        <f t="shared" si="12"/>
        <v>28547</v>
      </c>
      <c r="F41" s="480">
        <f t="shared" si="12"/>
        <v>860.0069219999999</v>
      </c>
      <c r="G41" s="464">
        <f t="shared" si="12"/>
        <v>21910</v>
      </c>
      <c r="H41" s="20">
        <f t="shared" si="12"/>
        <v>660.0606600000001</v>
      </c>
      <c r="I41" s="29">
        <f t="shared" si="12"/>
        <v>20250</v>
      </c>
      <c r="J41" s="29">
        <f t="shared" si="12"/>
        <v>610.0515</v>
      </c>
      <c r="K41" s="29">
        <f t="shared" si="12"/>
        <v>20300</v>
      </c>
      <c r="L41" s="29">
        <f t="shared" si="12"/>
        <v>611.5577999999999</v>
      </c>
      <c r="M41" s="29">
        <f t="shared" si="12"/>
        <v>21970</v>
      </c>
      <c r="N41" s="29">
        <f t="shared" si="12"/>
        <v>661.8682200000001</v>
      </c>
      <c r="O41" s="29">
        <f>SUM(O42:O44)</f>
        <v>20250</v>
      </c>
      <c r="P41" s="456">
        <f>SUM(P42:P44)</f>
        <v>610.0515</v>
      </c>
      <c r="Q41" s="20">
        <f>SUM(Q42:Q44)</f>
        <v>20250</v>
      </c>
      <c r="R41" s="18">
        <f>SUM(R42:R44)</f>
        <v>610.0515</v>
      </c>
      <c r="S41" s="780">
        <v>20250</v>
      </c>
      <c r="T41" s="29">
        <f>S41*30.126/1000</f>
        <v>610.0515</v>
      </c>
      <c r="U41" s="29">
        <v>20250</v>
      </c>
      <c r="V41" s="480">
        <f>U41*30.126/1000</f>
        <v>610.0515</v>
      </c>
    </row>
    <row r="42" spans="1:22" s="26" customFormat="1" ht="15" customHeight="1">
      <c r="A42" s="214"/>
      <c r="B42" s="1339" t="s">
        <v>673</v>
      </c>
      <c r="C42" s="883">
        <v>439</v>
      </c>
      <c r="D42" s="2305">
        <v>756</v>
      </c>
      <c r="E42" s="861">
        <v>19916</v>
      </c>
      <c r="F42" s="207">
        <f>(E42*30.126)/1000</f>
        <v>599.989416</v>
      </c>
      <c r="G42" s="615">
        <v>14940</v>
      </c>
      <c r="H42" s="448">
        <f>G42*30.126/1000</f>
        <v>450.08244</v>
      </c>
      <c r="I42" s="14">
        <v>13280</v>
      </c>
      <c r="J42" s="14">
        <f>I42*30.126/1000</f>
        <v>400.07328</v>
      </c>
      <c r="K42" s="14">
        <v>15000</v>
      </c>
      <c r="L42" s="14">
        <f>K42*30.126/1000</f>
        <v>451.89</v>
      </c>
      <c r="M42" s="14">
        <v>15000</v>
      </c>
      <c r="N42" s="14">
        <f>M42*30.126/1000</f>
        <v>451.89</v>
      </c>
      <c r="O42" s="14">
        <v>13280</v>
      </c>
      <c r="P42" s="1528">
        <f>O42*30.126/1000</f>
        <v>400.07328</v>
      </c>
      <c r="Q42" s="38">
        <v>13280</v>
      </c>
      <c r="R42" s="39">
        <f>Q42*30.126/1000</f>
        <v>400.07328</v>
      </c>
      <c r="S42" s="855"/>
      <c r="T42" s="14"/>
      <c r="U42" s="14"/>
      <c r="V42" s="207"/>
    </row>
    <row r="43" spans="1:22" s="26" customFormat="1" ht="15" customHeight="1">
      <c r="A43" s="140"/>
      <c r="B43" s="1339" t="s">
        <v>552</v>
      </c>
      <c r="C43" s="883">
        <v>164</v>
      </c>
      <c r="D43" s="2305">
        <v>320</v>
      </c>
      <c r="E43" s="861">
        <v>7967</v>
      </c>
      <c r="F43" s="207">
        <f>(E43*30.126)/1000</f>
        <v>240.013842</v>
      </c>
      <c r="G43" s="615">
        <v>6640</v>
      </c>
      <c r="H43" s="448">
        <f>G43*30.126/1000</f>
        <v>200.03664</v>
      </c>
      <c r="I43" s="14">
        <v>6640</v>
      </c>
      <c r="J43" s="14">
        <f>I43*30.126/1000</f>
        <v>200.03664</v>
      </c>
      <c r="K43" s="14">
        <v>5000</v>
      </c>
      <c r="L43" s="14">
        <f>K43*30.126/1000</f>
        <v>150.63</v>
      </c>
      <c r="M43" s="14">
        <v>6640</v>
      </c>
      <c r="N43" s="14">
        <f>M43*30.126/1000</f>
        <v>200.03664</v>
      </c>
      <c r="O43" s="14">
        <v>6640</v>
      </c>
      <c r="P43" s="1528">
        <f>O43*30.126/1000</f>
        <v>200.03664</v>
      </c>
      <c r="Q43" s="38">
        <v>6640</v>
      </c>
      <c r="R43" s="39">
        <f>Q43*30.126/1000</f>
        <v>200.03664</v>
      </c>
      <c r="S43" s="855"/>
      <c r="T43" s="14"/>
      <c r="U43" s="14"/>
      <c r="V43" s="207"/>
    </row>
    <row r="44" spans="1:22" s="26" customFormat="1" ht="15" customHeight="1" thickBot="1">
      <c r="A44" s="171"/>
      <c r="B44" s="1340" t="s">
        <v>674</v>
      </c>
      <c r="C44" s="1335">
        <v>137</v>
      </c>
      <c r="D44" s="2492"/>
      <c r="E44" s="2415">
        <v>664</v>
      </c>
      <c r="F44" s="685">
        <f>(E44*30.126)/1000</f>
        <v>20.003664</v>
      </c>
      <c r="G44" s="686">
        <v>330</v>
      </c>
      <c r="H44" s="688">
        <f>G44*30.126/1000</f>
        <v>9.94158</v>
      </c>
      <c r="I44" s="216">
        <v>330</v>
      </c>
      <c r="J44" s="216">
        <f>I44*30.126/1000</f>
        <v>9.94158</v>
      </c>
      <c r="K44" s="216">
        <v>300</v>
      </c>
      <c r="L44" s="216">
        <f>K44*30.126/1000</f>
        <v>9.0378</v>
      </c>
      <c r="M44" s="216">
        <v>330</v>
      </c>
      <c r="N44" s="216">
        <f>M44*30.126/1000</f>
        <v>9.94158</v>
      </c>
      <c r="O44" s="216">
        <v>330</v>
      </c>
      <c r="P44" s="1530">
        <f>O44*30.126/1000</f>
        <v>9.94158</v>
      </c>
      <c r="Q44" s="1348">
        <v>330</v>
      </c>
      <c r="R44" s="1349">
        <f>Q44*30.126/1000</f>
        <v>9.94158</v>
      </c>
      <c r="S44" s="2417"/>
      <c r="T44" s="216"/>
      <c r="U44" s="216"/>
      <c r="V44" s="685"/>
    </row>
    <row r="45" spans="1:22" s="6" customFormat="1" ht="19.5" customHeight="1" thickBot="1">
      <c r="A45" s="16"/>
      <c r="C45" s="275"/>
      <c r="D45" s="275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R45" s="4"/>
      <c r="S45" s="4"/>
      <c r="T45" s="4"/>
      <c r="U45" s="4"/>
      <c r="V45" s="4"/>
    </row>
    <row r="46" spans="1:22" s="23" customFormat="1" ht="39.75" customHeight="1" thickTop="1">
      <c r="A46" s="2884"/>
      <c r="B46" s="2885"/>
      <c r="C46" s="360" t="s">
        <v>506</v>
      </c>
      <c r="D46" s="2112" t="s">
        <v>507</v>
      </c>
      <c r="E46" s="2890" t="s">
        <v>184</v>
      </c>
      <c r="F46" s="2891"/>
      <c r="G46" s="570" t="s">
        <v>510</v>
      </c>
      <c r="H46" s="473" t="s">
        <v>510</v>
      </c>
      <c r="I46" s="474" t="s">
        <v>87</v>
      </c>
      <c r="J46" s="474" t="s">
        <v>87</v>
      </c>
      <c r="K46" s="2871" t="s">
        <v>509</v>
      </c>
      <c r="L46" s="2871"/>
      <c r="M46" s="2871" t="s">
        <v>508</v>
      </c>
      <c r="N46" s="2871"/>
      <c r="O46" s="475" t="s">
        <v>952</v>
      </c>
      <c r="P46" s="767" t="s">
        <v>952</v>
      </c>
      <c r="Q46" s="2859" t="s">
        <v>183</v>
      </c>
      <c r="R46" s="2860"/>
      <c r="S46" s="2865" t="s">
        <v>725</v>
      </c>
      <c r="T46" s="2863"/>
      <c r="U46" s="2863" t="s">
        <v>726</v>
      </c>
      <c r="V46" s="2864"/>
    </row>
    <row r="47" spans="1:22" s="24" customFormat="1" ht="15" customHeight="1" thickBot="1">
      <c r="A47" s="2886"/>
      <c r="B47" s="2887"/>
      <c r="C47" s="347" t="s">
        <v>966</v>
      </c>
      <c r="D47" s="2304" t="s">
        <v>966</v>
      </c>
      <c r="E47" s="768" t="s">
        <v>435</v>
      </c>
      <c r="F47" s="307" t="s">
        <v>966</v>
      </c>
      <c r="G47" s="461" t="s">
        <v>435</v>
      </c>
      <c r="H47" s="346" t="s">
        <v>966</v>
      </c>
      <c r="I47" s="450" t="s">
        <v>435</v>
      </c>
      <c r="J47" s="450" t="s">
        <v>966</v>
      </c>
      <c r="K47" s="239" t="s">
        <v>435</v>
      </c>
      <c r="L47" s="239" t="s">
        <v>966</v>
      </c>
      <c r="M47" s="239" t="s">
        <v>435</v>
      </c>
      <c r="N47" s="239" t="s">
        <v>966</v>
      </c>
      <c r="O47" s="451" t="s">
        <v>435</v>
      </c>
      <c r="P47" s="765" t="s">
        <v>966</v>
      </c>
      <c r="Q47" s="238" t="s">
        <v>435</v>
      </c>
      <c r="R47" s="993" t="s">
        <v>966</v>
      </c>
      <c r="S47" s="2117" t="s">
        <v>435</v>
      </c>
      <c r="T47" s="239" t="s">
        <v>966</v>
      </c>
      <c r="U47" s="239" t="s">
        <v>435</v>
      </c>
      <c r="V47" s="307" t="s">
        <v>966</v>
      </c>
    </row>
    <row r="48" spans="1:22" s="420" customFormat="1" ht="19.5" customHeight="1">
      <c r="A48" s="1776" t="s">
        <v>736</v>
      </c>
      <c r="B48" s="1012" t="s">
        <v>318</v>
      </c>
      <c r="C48" s="1013">
        <f aca="true" t="shared" si="13" ref="C48:C53">C51</f>
        <v>0</v>
      </c>
      <c r="D48" s="1507">
        <f aca="true" t="shared" si="14" ref="D48:N48">D51</f>
        <v>0</v>
      </c>
      <c r="E48" s="1018">
        <f t="shared" si="14"/>
        <v>1000</v>
      </c>
      <c r="F48" s="1017">
        <f t="shared" si="14"/>
        <v>30.126</v>
      </c>
      <c r="G48" s="1102">
        <f t="shared" si="14"/>
        <v>67512</v>
      </c>
      <c r="H48" s="1015">
        <f t="shared" si="14"/>
        <v>2033.866512</v>
      </c>
      <c r="I48" s="1016">
        <f t="shared" si="14"/>
        <v>67512</v>
      </c>
      <c r="J48" s="1016">
        <f t="shared" si="14"/>
        <v>2033.866512</v>
      </c>
      <c r="K48" s="1016">
        <f t="shared" si="14"/>
        <v>67512</v>
      </c>
      <c r="L48" s="1016">
        <f t="shared" si="14"/>
        <v>2033.866512</v>
      </c>
      <c r="M48" s="1016">
        <f t="shared" si="14"/>
        <v>67512</v>
      </c>
      <c r="N48" s="1016">
        <f t="shared" si="14"/>
        <v>2033.866512</v>
      </c>
      <c r="O48" s="1016">
        <f aca="true" t="shared" si="15" ref="O48:P53">O51</f>
        <v>67512</v>
      </c>
      <c r="P48" s="1507">
        <f t="shared" si="15"/>
        <v>2033.866512</v>
      </c>
      <c r="Q48" s="1015">
        <f aca="true" t="shared" si="16" ref="Q48:R53">Q51</f>
        <v>67512</v>
      </c>
      <c r="R48" s="1014">
        <f t="shared" si="16"/>
        <v>2033.866512</v>
      </c>
      <c r="S48" s="1013">
        <f aca="true" t="shared" si="17" ref="S48:V53">S51</f>
        <v>67512</v>
      </c>
      <c r="T48" s="1016">
        <f t="shared" si="17"/>
        <v>2033.866512</v>
      </c>
      <c r="U48" s="1016">
        <f t="shared" si="17"/>
        <v>67512</v>
      </c>
      <c r="V48" s="1017">
        <f t="shared" si="17"/>
        <v>2033.866512</v>
      </c>
    </row>
    <row r="49" spans="1:22" s="30" customFormat="1" ht="15" customHeight="1">
      <c r="A49" s="1020"/>
      <c r="B49" s="1021" t="s">
        <v>7</v>
      </c>
      <c r="C49" s="1022">
        <f t="shared" si="13"/>
        <v>0</v>
      </c>
      <c r="D49" s="1508">
        <f aca="true" t="shared" si="18" ref="D49:N49">D52</f>
        <v>0</v>
      </c>
      <c r="E49" s="1027">
        <f t="shared" si="18"/>
        <v>1000</v>
      </c>
      <c r="F49" s="1026">
        <f t="shared" si="18"/>
        <v>30.126</v>
      </c>
      <c r="G49" s="369">
        <f t="shared" si="18"/>
        <v>67512</v>
      </c>
      <c r="H49" s="1024">
        <f t="shared" si="18"/>
        <v>2033.866512</v>
      </c>
      <c r="I49" s="1025">
        <f t="shared" si="18"/>
        <v>67512</v>
      </c>
      <c r="J49" s="1025">
        <f t="shared" si="18"/>
        <v>2033.866512</v>
      </c>
      <c r="K49" s="1025">
        <f t="shared" si="18"/>
        <v>12512</v>
      </c>
      <c r="L49" s="1025">
        <f t="shared" si="18"/>
        <v>376.936512</v>
      </c>
      <c r="M49" s="1025">
        <f t="shared" si="18"/>
        <v>12512</v>
      </c>
      <c r="N49" s="1025">
        <f t="shared" si="18"/>
        <v>376.936512</v>
      </c>
      <c r="O49" s="1025">
        <f t="shared" si="15"/>
        <v>67512</v>
      </c>
      <c r="P49" s="1508">
        <f t="shared" si="15"/>
        <v>2033.866512</v>
      </c>
      <c r="Q49" s="1024">
        <f t="shared" si="16"/>
        <v>67512</v>
      </c>
      <c r="R49" s="1023">
        <f t="shared" si="16"/>
        <v>2033.866512</v>
      </c>
      <c r="S49" s="1022">
        <f t="shared" si="17"/>
        <v>12512</v>
      </c>
      <c r="T49" s="1025">
        <f t="shared" si="17"/>
        <v>376.936512</v>
      </c>
      <c r="U49" s="1025">
        <f t="shared" si="17"/>
        <v>12512</v>
      </c>
      <c r="V49" s="1026">
        <f t="shared" si="17"/>
        <v>376.936512</v>
      </c>
    </row>
    <row r="50" spans="1:22" s="49" customFormat="1" ht="15" customHeight="1">
      <c r="A50" s="1029"/>
      <c r="B50" s="1030" t="s">
        <v>8</v>
      </c>
      <c r="C50" s="1031">
        <f t="shared" si="13"/>
        <v>0</v>
      </c>
      <c r="D50" s="1509">
        <f aca="true" t="shared" si="19" ref="D50:N50">D53</f>
        <v>0</v>
      </c>
      <c r="E50" s="1036">
        <f t="shared" si="19"/>
        <v>0</v>
      </c>
      <c r="F50" s="1035">
        <f t="shared" si="19"/>
        <v>0</v>
      </c>
      <c r="G50" s="1082">
        <f t="shared" si="19"/>
        <v>0</v>
      </c>
      <c r="H50" s="1033">
        <f t="shared" si="19"/>
        <v>0</v>
      </c>
      <c r="I50" s="1034">
        <f t="shared" si="19"/>
        <v>0</v>
      </c>
      <c r="J50" s="1034">
        <f t="shared" si="19"/>
        <v>0</v>
      </c>
      <c r="K50" s="1034">
        <f t="shared" si="19"/>
        <v>55000</v>
      </c>
      <c r="L50" s="1034">
        <f t="shared" si="19"/>
        <v>1656.93</v>
      </c>
      <c r="M50" s="1034">
        <f t="shared" si="19"/>
        <v>55000</v>
      </c>
      <c r="N50" s="1034">
        <f t="shared" si="19"/>
        <v>1656.93</v>
      </c>
      <c r="O50" s="1034">
        <f t="shared" si="15"/>
        <v>0</v>
      </c>
      <c r="P50" s="1509">
        <f t="shared" si="15"/>
        <v>0</v>
      </c>
      <c r="Q50" s="1033">
        <f t="shared" si="16"/>
        <v>0</v>
      </c>
      <c r="R50" s="1032">
        <f t="shared" si="16"/>
        <v>0</v>
      </c>
      <c r="S50" s="1031">
        <f t="shared" si="17"/>
        <v>55000</v>
      </c>
      <c r="T50" s="1034">
        <f t="shared" si="17"/>
        <v>1656.93</v>
      </c>
      <c r="U50" s="1034">
        <f t="shared" si="17"/>
        <v>55000</v>
      </c>
      <c r="V50" s="1035">
        <f t="shared" si="17"/>
        <v>1656.93</v>
      </c>
    </row>
    <row r="51" spans="1:22" s="49" customFormat="1" ht="15" customHeight="1">
      <c r="A51" s="1038"/>
      <c r="B51" s="1039" t="s">
        <v>965</v>
      </c>
      <c r="C51" s="1040">
        <f t="shared" si="13"/>
        <v>0</v>
      </c>
      <c r="D51" s="1510">
        <f aca="true" t="shared" si="20" ref="D51:N51">D54</f>
        <v>0</v>
      </c>
      <c r="E51" s="1045">
        <f t="shared" si="20"/>
        <v>1000</v>
      </c>
      <c r="F51" s="1044">
        <f t="shared" si="20"/>
        <v>30.126</v>
      </c>
      <c r="G51" s="1083">
        <f t="shared" si="20"/>
        <v>67512</v>
      </c>
      <c r="H51" s="1042">
        <f t="shared" si="20"/>
        <v>2033.866512</v>
      </c>
      <c r="I51" s="1043">
        <f t="shared" si="20"/>
        <v>67512</v>
      </c>
      <c r="J51" s="1043">
        <f t="shared" si="20"/>
        <v>2033.866512</v>
      </c>
      <c r="K51" s="1043">
        <f t="shared" si="20"/>
        <v>67512</v>
      </c>
      <c r="L51" s="1043">
        <f t="shared" si="20"/>
        <v>2033.866512</v>
      </c>
      <c r="M51" s="1043">
        <f t="shared" si="20"/>
        <v>67512</v>
      </c>
      <c r="N51" s="1043">
        <f t="shared" si="20"/>
        <v>2033.866512</v>
      </c>
      <c r="O51" s="1043">
        <f t="shared" si="15"/>
        <v>67512</v>
      </c>
      <c r="P51" s="1510">
        <f t="shared" si="15"/>
        <v>2033.866512</v>
      </c>
      <c r="Q51" s="1042">
        <f t="shared" si="16"/>
        <v>67512</v>
      </c>
      <c r="R51" s="1041">
        <f t="shared" si="16"/>
        <v>2033.866512</v>
      </c>
      <c r="S51" s="1040">
        <f t="shared" si="17"/>
        <v>67512</v>
      </c>
      <c r="T51" s="1043">
        <f t="shared" si="17"/>
        <v>2033.866512</v>
      </c>
      <c r="U51" s="1043">
        <f t="shared" si="17"/>
        <v>67512</v>
      </c>
      <c r="V51" s="1044">
        <f t="shared" si="17"/>
        <v>2033.866512</v>
      </c>
    </row>
    <row r="52" spans="1:22" s="30" customFormat="1" ht="15" customHeight="1">
      <c r="A52" s="1020"/>
      <c r="B52" s="1021" t="s">
        <v>7</v>
      </c>
      <c r="C52" s="1022">
        <f t="shared" si="13"/>
        <v>0</v>
      </c>
      <c r="D52" s="1508">
        <f aca="true" t="shared" si="21" ref="D52:N52">D55</f>
        <v>0</v>
      </c>
      <c r="E52" s="1027">
        <f t="shared" si="21"/>
        <v>1000</v>
      </c>
      <c r="F52" s="1026">
        <f t="shared" si="21"/>
        <v>30.126</v>
      </c>
      <c r="G52" s="369">
        <f t="shared" si="21"/>
        <v>67512</v>
      </c>
      <c r="H52" s="1024">
        <f t="shared" si="21"/>
        <v>2033.866512</v>
      </c>
      <c r="I52" s="1025">
        <f t="shared" si="21"/>
        <v>67512</v>
      </c>
      <c r="J52" s="1025">
        <f t="shared" si="21"/>
        <v>2033.866512</v>
      </c>
      <c r="K52" s="1025">
        <f t="shared" si="21"/>
        <v>12512</v>
      </c>
      <c r="L52" s="1025">
        <f t="shared" si="21"/>
        <v>376.936512</v>
      </c>
      <c r="M52" s="1025">
        <f t="shared" si="21"/>
        <v>12512</v>
      </c>
      <c r="N52" s="1025">
        <f t="shared" si="21"/>
        <v>376.936512</v>
      </c>
      <c r="O52" s="1025">
        <f t="shared" si="15"/>
        <v>67512</v>
      </c>
      <c r="P52" s="1508">
        <f t="shared" si="15"/>
        <v>2033.866512</v>
      </c>
      <c r="Q52" s="1024">
        <f t="shared" si="16"/>
        <v>67512</v>
      </c>
      <c r="R52" s="1023">
        <f t="shared" si="16"/>
        <v>2033.866512</v>
      </c>
      <c r="S52" s="1022">
        <f t="shared" si="17"/>
        <v>12512</v>
      </c>
      <c r="T52" s="1025">
        <f t="shared" si="17"/>
        <v>376.936512</v>
      </c>
      <c r="U52" s="1025">
        <f t="shared" si="17"/>
        <v>12512</v>
      </c>
      <c r="V52" s="1026">
        <f t="shared" si="17"/>
        <v>376.936512</v>
      </c>
    </row>
    <row r="53" spans="1:22" s="49" customFormat="1" ht="18" customHeight="1">
      <c r="A53" s="1047"/>
      <c r="B53" s="1048" t="s">
        <v>8</v>
      </c>
      <c r="C53" s="1049">
        <f t="shared" si="13"/>
        <v>0</v>
      </c>
      <c r="D53" s="1511">
        <f aca="true" t="shared" si="22" ref="D53:N53">D56</f>
        <v>0</v>
      </c>
      <c r="E53" s="1054">
        <f t="shared" si="22"/>
        <v>0</v>
      </c>
      <c r="F53" s="1053">
        <f t="shared" si="22"/>
        <v>0</v>
      </c>
      <c r="G53" s="1084">
        <f t="shared" si="22"/>
        <v>0</v>
      </c>
      <c r="H53" s="1051">
        <f t="shared" si="22"/>
        <v>0</v>
      </c>
      <c r="I53" s="1052">
        <f t="shared" si="22"/>
        <v>0</v>
      </c>
      <c r="J53" s="1052">
        <f t="shared" si="22"/>
        <v>0</v>
      </c>
      <c r="K53" s="1052">
        <f t="shared" si="22"/>
        <v>55000</v>
      </c>
      <c r="L53" s="1052">
        <f t="shared" si="22"/>
        <v>1656.93</v>
      </c>
      <c r="M53" s="1052">
        <f t="shared" si="22"/>
        <v>55000</v>
      </c>
      <c r="N53" s="1052">
        <f t="shared" si="22"/>
        <v>1656.93</v>
      </c>
      <c r="O53" s="1052">
        <f t="shared" si="15"/>
        <v>0</v>
      </c>
      <c r="P53" s="1511">
        <f t="shared" si="15"/>
        <v>0</v>
      </c>
      <c r="Q53" s="1051">
        <f t="shared" si="16"/>
        <v>0</v>
      </c>
      <c r="R53" s="1050">
        <f t="shared" si="16"/>
        <v>0</v>
      </c>
      <c r="S53" s="1049">
        <f t="shared" si="17"/>
        <v>55000</v>
      </c>
      <c r="T53" s="1052">
        <f t="shared" si="17"/>
        <v>1656.93</v>
      </c>
      <c r="U53" s="1052">
        <f t="shared" si="17"/>
        <v>55000</v>
      </c>
      <c r="V53" s="1053">
        <f t="shared" si="17"/>
        <v>1656.93</v>
      </c>
    </row>
    <row r="54" spans="1:22" s="65" customFormat="1" ht="15.75" customHeight="1">
      <c r="A54" s="1332"/>
      <c r="B54" s="1271" t="s">
        <v>695</v>
      </c>
      <c r="C54" s="1057">
        <f>SUM(C55:C56)</f>
        <v>0</v>
      </c>
      <c r="D54" s="1681">
        <f aca="true" t="shared" si="23" ref="D54:N54">SUM(D55:D56)</f>
        <v>0</v>
      </c>
      <c r="E54" s="1062">
        <f t="shared" si="23"/>
        <v>1000</v>
      </c>
      <c r="F54" s="1061">
        <f t="shared" si="23"/>
        <v>30.126</v>
      </c>
      <c r="G54" s="1284">
        <f t="shared" si="23"/>
        <v>67512</v>
      </c>
      <c r="H54" s="1059">
        <f t="shared" si="23"/>
        <v>2033.866512</v>
      </c>
      <c r="I54" s="1060">
        <f t="shared" si="23"/>
        <v>67512</v>
      </c>
      <c r="J54" s="1060">
        <f t="shared" si="23"/>
        <v>2033.866512</v>
      </c>
      <c r="K54" s="1060">
        <f t="shared" si="23"/>
        <v>67512</v>
      </c>
      <c r="L54" s="1060">
        <f t="shared" si="23"/>
        <v>2033.866512</v>
      </c>
      <c r="M54" s="1060">
        <f t="shared" si="23"/>
        <v>67512</v>
      </c>
      <c r="N54" s="1060">
        <f t="shared" si="23"/>
        <v>2033.866512</v>
      </c>
      <c r="O54" s="1060">
        <f aca="true" t="shared" si="24" ref="O54:V54">SUM(O55:O56)</f>
        <v>67512</v>
      </c>
      <c r="P54" s="1681">
        <f t="shared" si="24"/>
        <v>2033.866512</v>
      </c>
      <c r="Q54" s="1059">
        <f t="shared" si="24"/>
        <v>67512</v>
      </c>
      <c r="R54" s="1058">
        <f t="shared" si="24"/>
        <v>2033.866512</v>
      </c>
      <c r="S54" s="1057">
        <f t="shared" si="24"/>
        <v>67512</v>
      </c>
      <c r="T54" s="1060">
        <f t="shared" si="24"/>
        <v>2033.866512</v>
      </c>
      <c r="U54" s="1060">
        <f t="shared" si="24"/>
        <v>67512</v>
      </c>
      <c r="V54" s="1061">
        <f t="shared" si="24"/>
        <v>2033.866512</v>
      </c>
    </row>
    <row r="55" spans="1:22" s="6" customFormat="1" ht="15.75" customHeight="1">
      <c r="A55" s="200"/>
      <c r="B55" s="1285" t="s">
        <v>340</v>
      </c>
      <c r="C55" s="883"/>
      <c r="D55" s="2305"/>
      <c r="E55" s="772">
        <v>1000</v>
      </c>
      <c r="F55" s="139">
        <f>(E55*30.126)/1000</f>
        <v>30.126</v>
      </c>
      <c r="G55" s="963">
        <v>67512</v>
      </c>
      <c r="H55" s="35">
        <f>G55*30.126/1000</f>
        <v>2033.866512</v>
      </c>
      <c r="I55" s="9">
        <v>67512</v>
      </c>
      <c r="J55" s="9">
        <f>I55*30.126/1000</f>
        <v>2033.866512</v>
      </c>
      <c r="K55" s="9">
        <v>12512</v>
      </c>
      <c r="L55" s="9">
        <f>K55*30.126/1000</f>
        <v>376.936512</v>
      </c>
      <c r="M55" s="9">
        <v>12512</v>
      </c>
      <c r="N55" s="9">
        <f>M55*30.126/1000</f>
        <v>376.936512</v>
      </c>
      <c r="O55" s="9">
        <v>67512</v>
      </c>
      <c r="P55" s="382">
        <f>O55*30.126/1000</f>
        <v>2033.866512</v>
      </c>
      <c r="Q55" s="35">
        <v>67512</v>
      </c>
      <c r="R55" s="8">
        <f>Q55*30.126/1000</f>
        <v>2033.866512</v>
      </c>
      <c r="S55" s="782">
        <v>12512</v>
      </c>
      <c r="T55" s="9">
        <f>S55*30.126/1000</f>
        <v>376.936512</v>
      </c>
      <c r="U55" s="9">
        <v>12512</v>
      </c>
      <c r="V55" s="139">
        <f>U55*30.126/1000</f>
        <v>376.936512</v>
      </c>
    </row>
    <row r="56" spans="1:22" s="11" customFormat="1" ht="15.75" customHeight="1" thickBot="1">
      <c r="A56" s="1347"/>
      <c r="B56" s="1073" t="s">
        <v>341</v>
      </c>
      <c r="C56" s="1296"/>
      <c r="D56" s="2368"/>
      <c r="E56" s="1756"/>
      <c r="F56" s="1298"/>
      <c r="G56" s="1158">
        <v>0</v>
      </c>
      <c r="H56" s="1297">
        <v>0</v>
      </c>
      <c r="I56" s="1160">
        <v>0</v>
      </c>
      <c r="J56" s="1160">
        <v>0</v>
      </c>
      <c r="K56" s="1160">
        <v>55000</v>
      </c>
      <c r="L56" s="1160">
        <f>K56*30.126/1000</f>
        <v>1656.93</v>
      </c>
      <c r="M56" s="1160">
        <v>55000</v>
      </c>
      <c r="N56" s="1160">
        <f>M56*30.126/1000</f>
        <v>1656.93</v>
      </c>
      <c r="O56" s="1160">
        <v>0</v>
      </c>
      <c r="P56" s="1773">
        <v>0</v>
      </c>
      <c r="Q56" s="1156">
        <v>0</v>
      </c>
      <c r="R56" s="1157">
        <v>0</v>
      </c>
      <c r="S56" s="2519">
        <v>55000</v>
      </c>
      <c r="T56" s="1160">
        <f>S56*30.126/1000</f>
        <v>1656.93</v>
      </c>
      <c r="U56" s="1160">
        <v>55000</v>
      </c>
      <c r="V56" s="1298">
        <f>U56*30.126/1000</f>
        <v>1656.93</v>
      </c>
    </row>
    <row r="57" spans="1:4" s="6" customFormat="1" ht="19.5" customHeight="1" thickBot="1">
      <c r="A57" s="16"/>
      <c r="C57" s="275"/>
      <c r="D57" s="275"/>
    </row>
    <row r="58" spans="1:22" s="23" customFormat="1" ht="39.75" customHeight="1" thickTop="1">
      <c r="A58" s="2884"/>
      <c r="B58" s="2885"/>
      <c r="C58" s="539" t="s">
        <v>506</v>
      </c>
      <c r="D58" s="2314" t="s">
        <v>507</v>
      </c>
      <c r="E58" s="2839" t="s">
        <v>184</v>
      </c>
      <c r="F58" s="2840"/>
      <c r="G58" s="460" t="s">
        <v>510</v>
      </c>
      <c r="H58" s="581" t="s">
        <v>510</v>
      </c>
      <c r="I58" s="689" t="s">
        <v>87</v>
      </c>
      <c r="J58" s="689" t="s">
        <v>87</v>
      </c>
      <c r="K58" s="2960" t="s">
        <v>509</v>
      </c>
      <c r="L58" s="2960"/>
      <c r="M58" s="2960" t="s">
        <v>508</v>
      </c>
      <c r="N58" s="2960"/>
      <c r="O58" s="690" t="s">
        <v>952</v>
      </c>
      <c r="P58" s="1774" t="s">
        <v>952</v>
      </c>
      <c r="Q58" s="2859" t="s">
        <v>183</v>
      </c>
      <c r="R58" s="2860"/>
      <c r="S58" s="2865" t="s">
        <v>725</v>
      </c>
      <c r="T58" s="2863"/>
      <c r="U58" s="2863" t="s">
        <v>726</v>
      </c>
      <c r="V58" s="2864"/>
    </row>
    <row r="59" spans="1:22" s="24" customFormat="1" ht="15" customHeight="1" thickBot="1">
      <c r="A59" s="2886"/>
      <c r="B59" s="2887"/>
      <c r="C59" s="540" t="s">
        <v>966</v>
      </c>
      <c r="D59" s="2315" t="s">
        <v>966</v>
      </c>
      <c r="E59" s="2318" t="s">
        <v>435</v>
      </c>
      <c r="F59" s="2234" t="s">
        <v>966</v>
      </c>
      <c r="G59" s="461" t="s">
        <v>435</v>
      </c>
      <c r="H59" s="346" t="s">
        <v>966</v>
      </c>
      <c r="I59" s="450" t="s">
        <v>435</v>
      </c>
      <c r="J59" s="450" t="s">
        <v>966</v>
      </c>
      <c r="K59" s="239" t="s">
        <v>435</v>
      </c>
      <c r="L59" s="239" t="s">
        <v>966</v>
      </c>
      <c r="M59" s="239" t="s">
        <v>435</v>
      </c>
      <c r="N59" s="239" t="s">
        <v>966</v>
      </c>
      <c r="O59" s="451" t="s">
        <v>435</v>
      </c>
      <c r="P59" s="765" t="s">
        <v>966</v>
      </c>
      <c r="Q59" s="238" t="s">
        <v>435</v>
      </c>
      <c r="R59" s="993" t="s">
        <v>966</v>
      </c>
      <c r="S59" s="2117" t="s">
        <v>435</v>
      </c>
      <c r="T59" s="239" t="s">
        <v>966</v>
      </c>
      <c r="U59" s="239" t="s">
        <v>435</v>
      </c>
      <c r="V59" s="307" t="s">
        <v>966</v>
      </c>
    </row>
    <row r="60" spans="1:22" s="23" customFormat="1" ht="19.5" customHeight="1">
      <c r="A60" s="1341" t="s">
        <v>356</v>
      </c>
      <c r="B60" s="1342" t="s">
        <v>44</v>
      </c>
      <c r="C60" s="541">
        <f aca="true" t="shared" si="25" ref="C60:V60">C4+C48</f>
        <v>9218</v>
      </c>
      <c r="D60" s="1606">
        <f t="shared" si="25"/>
        <v>10925</v>
      </c>
      <c r="E60" s="2319">
        <f t="shared" si="25"/>
        <v>376004</v>
      </c>
      <c r="F60" s="2320">
        <f t="shared" si="25"/>
        <v>11327.496504</v>
      </c>
      <c r="G60" s="493">
        <f t="shared" si="25"/>
        <v>363837</v>
      </c>
      <c r="H60" s="546">
        <f t="shared" si="25"/>
        <v>10960.953462000001</v>
      </c>
      <c r="I60" s="422">
        <f t="shared" si="25"/>
        <v>346133</v>
      </c>
      <c r="J60" s="422">
        <f t="shared" si="25"/>
        <v>10427.602758</v>
      </c>
      <c r="K60" s="422">
        <f t="shared" si="25"/>
        <v>307996</v>
      </c>
      <c r="L60" s="422">
        <f t="shared" si="25"/>
        <v>9278.687496</v>
      </c>
      <c r="M60" s="422">
        <f t="shared" si="25"/>
        <v>311278</v>
      </c>
      <c r="N60" s="422">
        <f t="shared" si="25"/>
        <v>9377.561028</v>
      </c>
      <c r="O60" s="422">
        <f t="shared" si="25"/>
        <v>293023</v>
      </c>
      <c r="P60" s="1685">
        <f t="shared" si="25"/>
        <v>8827.610898</v>
      </c>
      <c r="Q60" s="1621">
        <f t="shared" si="25"/>
        <v>294019</v>
      </c>
      <c r="R60" s="2521">
        <f t="shared" si="25"/>
        <v>8857.616394</v>
      </c>
      <c r="S60" s="821">
        <f t="shared" si="25"/>
        <v>295183</v>
      </c>
      <c r="T60" s="422">
        <f t="shared" si="25"/>
        <v>8892.683058</v>
      </c>
      <c r="U60" s="422">
        <f t="shared" si="25"/>
        <v>295183</v>
      </c>
      <c r="V60" s="547">
        <f t="shared" si="25"/>
        <v>8892.683058</v>
      </c>
    </row>
    <row r="61" spans="1:22" s="30" customFormat="1" ht="15" customHeight="1">
      <c r="A61" s="1343"/>
      <c r="B61" s="1344" t="s">
        <v>965</v>
      </c>
      <c r="C61" s="542">
        <f aca="true" t="shared" si="26" ref="C61:V61">C6+C41+C51</f>
        <v>8706</v>
      </c>
      <c r="D61" s="1607">
        <f t="shared" si="26"/>
        <v>10453</v>
      </c>
      <c r="E61" s="2321">
        <f t="shared" si="26"/>
        <v>360403</v>
      </c>
      <c r="F61" s="2322">
        <f t="shared" si="26"/>
        <v>10857.500778000001</v>
      </c>
      <c r="G61" s="494">
        <f t="shared" si="26"/>
        <v>360537</v>
      </c>
      <c r="H61" s="548">
        <f t="shared" si="26"/>
        <v>10861.537662000002</v>
      </c>
      <c r="I61" s="424">
        <f t="shared" si="26"/>
        <v>342833</v>
      </c>
      <c r="J61" s="424">
        <f t="shared" si="26"/>
        <v>10328.186958</v>
      </c>
      <c r="K61" s="424">
        <f t="shared" si="26"/>
        <v>301357</v>
      </c>
      <c r="L61" s="424">
        <f t="shared" si="26"/>
        <v>9078.680982</v>
      </c>
      <c r="M61" s="424">
        <f t="shared" si="26"/>
        <v>304639</v>
      </c>
      <c r="N61" s="424">
        <f t="shared" si="26"/>
        <v>9177.554514000001</v>
      </c>
      <c r="O61" s="424">
        <f t="shared" si="26"/>
        <v>289723</v>
      </c>
      <c r="P61" s="1686">
        <f t="shared" si="26"/>
        <v>8728.195098</v>
      </c>
      <c r="Q61" s="1622">
        <f t="shared" si="26"/>
        <v>290719</v>
      </c>
      <c r="R61" s="2522">
        <f t="shared" si="26"/>
        <v>8758.200594</v>
      </c>
      <c r="S61" s="822">
        <f t="shared" si="26"/>
        <v>291883</v>
      </c>
      <c r="T61" s="424">
        <f t="shared" si="26"/>
        <v>8793.267258000002</v>
      </c>
      <c r="U61" s="424">
        <f t="shared" si="26"/>
        <v>291883</v>
      </c>
      <c r="V61" s="549">
        <f t="shared" si="26"/>
        <v>8793.267258000002</v>
      </c>
    </row>
    <row r="62" spans="1:22" s="30" customFormat="1" ht="15" customHeight="1" thickBot="1">
      <c r="A62" s="1345"/>
      <c r="B62" s="1346" t="s">
        <v>967</v>
      </c>
      <c r="C62" s="543">
        <f>C37</f>
        <v>512</v>
      </c>
      <c r="D62" s="1608">
        <f aca="true" t="shared" si="27" ref="D62:N62">D37</f>
        <v>472</v>
      </c>
      <c r="E62" s="2323">
        <f t="shared" si="27"/>
        <v>15601</v>
      </c>
      <c r="F62" s="2324">
        <f t="shared" si="27"/>
        <v>469.99572600000005</v>
      </c>
      <c r="G62" s="495">
        <f t="shared" si="27"/>
        <v>3300</v>
      </c>
      <c r="H62" s="691">
        <f t="shared" si="27"/>
        <v>99.4158</v>
      </c>
      <c r="I62" s="486">
        <f t="shared" si="27"/>
        <v>3300</v>
      </c>
      <c r="J62" s="486">
        <f t="shared" si="27"/>
        <v>99.4158</v>
      </c>
      <c r="K62" s="486">
        <f t="shared" si="27"/>
        <v>6639</v>
      </c>
      <c r="L62" s="486">
        <f t="shared" si="27"/>
        <v>200.00651399999998</v>
      </c>
      <c r="M62" s="486">
        <f t="shared" si="27"/>
        <v>6639</v>
      </c>
      <c r="N62" s="486">
        <f t="shared" si="27"/>
        <v>200.00651399999998</v>
      </c>
      <c r="O62" s="486">
        <f aca="true" t="shared" si="28" ref="O62:V62">O37</f>
        <v>3300</v>
      </c>
      <c r="P62" s="1775">
        <f t="shared" si="28"/>
        <v>99.4158</v>
      </c>
      <c r="Q62" s="2523">
        <f t="shared" si="28"/>
        <v>3300</v>
      </c>
      <c r="R62" s="2524">
        <f t="shared" si="28"/>
        <v>99.4158</v>
      </c>
      <c r="S62" s="823">
        <f t="shared" si="28"/>
        <v>3300</v>
      </c>
      <c r="T62" s="486">
        <f t="shared" si="28"/>
        <v>99.4158</v>
      </c>
      <c r="U62" s="486">
        <f t="shared" si="28"/>
        <v>3300</v>
      </c>
      <c r="V62" s="692">
        <f t="shared" si="28"/>
        <v>99.4158</v>
      </c>
    </row>
    <row r="63" spans="1:22" s="6" customFormat="1" ht="12.75">
      <c r="A63" s="16"/>
      <c r="C63" s="275"/>
      <c r="D63" s="275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S63" s="4"/>
      <c r="T63" s="4"/>
      <c r="U63" s="4"/>
      <c r="V63" s="4"/>
    </row>
    <row r="64" spans="1:22" s="6" customFormat="1" ht="12.75">
      <c r="A64" s="16"/>
      <c r="C64" s="275"/>
      <c r="D64" s="275"/>
      <c r="E64" s="4"/>
      <c r="F64" s="4"/>
      <c r="G64" s="4"/>
      <c r="H64" s="4"/>
      <c r="I64" s="4"/>
      <c r="J64" s="4"/>
      <c r="K64" s="4"/>
      <c r="L64" s="4"/>
      <c r="M64" s="4"/>
      <c r="O64" s="4"/>
      <c r="P64" s="4"/>
      <c r="Q64" s="4"/>
      <c r="R64" s="4"/>
      <c r="S64" s="4"/>
      <c r="T64" s="4"/>
      <c r="U64" s="4"/>
      <c r="V64" s="4"/>
    </row>
    <row r="65" spans="1:22" s="6" customFormat="1" ht="12.75">
      <c r="A65" s="16"/>
      <c r="C65" s="275"/>
      <c r="D65" s="275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R65" s="4"/>
      <c r="S65" s="4"/>
      <c r="T65" s="4"/>
      <c r="U65" s="4"/>
      <c r="V65" s="4"/>
    </row>
    <row r="66" spans="1:22" s="6" customFormat="1" ht="12.75">
      <c r="A66" s="16"/>
      <c r="C66" s="275"/>
      <c r="D66" s="275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R66" s="4"/>
      <c r="S66" s="4"/>
      <c r="T66" s="4"/>
      <c r="U66" s="4"/>
      <c r="V66" s="4"/>
    </row>
    <row r="67" spans="1:22" s="6" customFormat="1" ht="12.75">
      <c r="A67" s="16"/>
      <c r="C67" s="275"/>
      <c r="D67" s="275"/>
      <c r="E67" s="4"/>
      <c r="F67" s="4"/>
      <c r="G67" s="4"/>
      <c r="H67" s="4"/>
      <c r="I67" s="4"/>
      <c r="J67" s="4"/>
      <c r="K67" s="4"/>
      <c r="L67" s="4"/>
      <c r="M67" s="4"/>
      <c r="O67" s="4"/>
      <c r="P67" s="4"/>
      <c r="Q67" s="4"/>
      <c r="R67" s="4"/>
      <c r="S67" s="4"/>
      <c r="T67" s="4"/>
      <c r="U67" s="4"/>
      <c r="V67" s="4"/>
    </row>
    <row r="68" spans="1:22" s="6" customFormat="1" ht="12.75">
      <c r="A68" s="16"/>
      <c r="C68" s="275"/>
      <c r="D68" s="275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R68" s="4"/>
      <c r="S68" s="4"/>
      <c r="T68" s="4"/>
      <c r="U68" s="4"/>
      <c r="V68" s="4"/>
    </row>
    <row r="69" spans="1:22" s="6" customFormat="1" ht="12.75">
      <c r="A69" s="16"/>
      <c r="C69" s="275"/>
      <c r="D69" s="275"/>
      <c r="E69" s="4"/>
      <c r="F69" s="4"/>
      <c r="G69" s="4"/>
      <c r="H69" s="4"/>
      <c r="I69" s="4"/>
      <c r="J69" s="4"/>
      <c r="K69" s="4"/>
      <c r="L69" s="4"/>
      <c r="M69" s="4"/>
      <c r="O69" s="4"/>
      <c r="P69" s="4"/>
      <c r="Q69" s="4"/>
      <c r="R69" s="4"/>
      <c r="S69" s="4"/>
      <c r="T69" s="4"/>
      <c r="U69" s="4"/>
      <c r="V69" s="4"/>
    </row>
    <row r="70" spans="1:22" s="6" customFormat="1" ht="12.75">
      <c r="A70" s="16"/>
      <c r="C70" s="275"/>
      <c r="D70" s="275"/>
      <c r="E70" s="4"/>
      <c r="F70" s="4"/>
      <c r="G70" s="4"/>
      <c r="H70" s="4"/>
      <c r="I70" s="4"/>
      <c r="J70" s="4"/>
      <c r="K70" s="4"/>
      <c r="L70" s="4"/>
      <c r="M70" s="4"/>
      <c r="O70" s="4"/>
      <c r="P70" s="4"/>
      <c r="Q70" s="4"/>
      <c r="R70" s="4"/>
      <c r="S70" s="4"/>
      <c r="T70" s="4"/>
      <c r="U70" s="4"/>
      <c r="V70" s="4"/>
    </row>
    <row r="71" spans="1:22" s="6" customFormat="1" ht="12.75">
      <c r="A71" s="16"/>
      <c r="C71" s="275"/>
      <c r="D71" s="275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S71" s="4"/>
      <c r="T71" s="4"/>
      <c r="U71" s="4"/>
      <c r="V71" s="4"/>
    </row>
    <row r="72" spans="1:22" s="6" customFormat="1" ht="12.75">
      <c r="A72" s="16"/>
      <c r="C72" s="275"/>
      <c r="D72" s="275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S72" s="4"/>
      <c r="T72" s="4"/>
      <c r="U72" s="4"/>
      <c r="V72" s="4"/>
    </row>
    <row r="73" spans="1:22" s="6" customFormat="1" ht="12.75">
      <c r="A73" s="16"/>
      <c r="C73" s="275"/>
      <c r="D73" s="275"/>
      <c r="E73" s="4"/>
      <c r="F73" s="4"/>
      <c r="G73" s="4"/>
      <c r="H73" s="4"/>
      <c r="I73" s="4"/>
      <c r="J73" s="4"/>
      <c r="K73" s="4"/>
      <c r="L73" s="4"/>
      <c r="M73" s="4"/>
      <c r="O73" s="4"/>
      <c r="P73" s="4"/>
      <c r="Q73" s="4"/>
      <c r="R73" s="4"/>
      <c r="S73" s="4"/>
      <c r="T73" s="4"/>
      <c r="U73" s="4"/>
      <c r="V73" s="4"/>
    </row>
    <row r="74" spans="1:22" s="6" customFormat="1" ht="12.75">
      <c r="A74" s="16"/>
      <c r="C74" s="275"/>
      <c r="D74" s="275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S74" s="4"/>
      <c r="T74" s="4"/>
      <c r="U74" s="4"/>
      <c r="V74" s="4"/>
    </row>
    <row r="75" spans="1:22" s="6" customFormat="1" ht="12.75">
      <c r="A75" s="16"/>
      <c r="C75" s="275"/>
      <c r="D75" s="275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S75" s="4"/>
      <c r="T75" s="4"/>
      <c r="U75" s="4"/>
      <c r="V75" s="4"/>
    </row>
    <row r="76" spans="1:22" s="6" customFormat="1" ht="12.75">
      <c r="A76" s="16"/>
      <c r="C76" s="275"/>
      <c r="D76" s="275"/>
      <c r="E76" s="4"/>
      <c r="F76" s="4"/>
      <c r="G76" s="4"/>
      <c r="H76" s="4"/>
      <c r="I76" s="4"/>
      <c r="J76" s="4"/>
      <c r="K76" s="4"/>
      <c r="L76" s="4"/>
      <c r="M76" s="4"/>
      <c r="O76" s="4"/>
      <c r="P76" s="4"/>
      <c r="Q76" s="4"/>
      <c r="R76" s="4"/>
      <c r="S76" s="4"/>
      <c r="T76" s="4"/>
      <c r="U76" s="4"/>
      <c r="V76" s="4"/>
    </row>
    <row r="77" spans="1:22" s="6" customFormat="1" ht="12.75">
      <c r="A77" s="16"/>
      <c r="C77" s="275"/>
      <c r="D77" s="275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S77" s="4"/>
      <c r="T77" s="4"/>
      <c r="U77" s="4"/>
      <c r="V77" s="4"/>
    </row>
    <row r="78" spans="1:22" s="6" customFormat="1" ht="12.75">
      <c r="A78" s="16"/>
      <c r="C78" s="275"/>
      <c r="D78" s="275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S78" s="4"/>
      <c r="T78" s="4"/>
      <c r="U78" s="4"/>
      <c r="V78" s="4"/>
    </row>
    <row r="79" spans="1:22" s="6" customFormat="1" ht="12.75">
      <c r="A79" s="16"/>
      <c r="C79" s="275"/>
      <c r="D79" s="275"/>
      <c r="E79" s="4"/>
      <c r="F79" s="4"/>
      <c r="G79" s="4"/>
      <c r="H79" s="4"/>
      <c r="I79" s="4"/>
      <c r="J79" s="4"/>
      <c r="K79" s="4"/>
      <c r="L79" s="4"/>
      <c r="M79" s="4"/>
      <c r="O79" s="4"/>
      <c r="P79" s="4"/>
      <c r="Q79" s="4"/>
      <c r="R79" s="4"/>
      <c r="S79" s="4"/>
      <c r="T79" s="4"/>
      <c r="U79" s="4"/>
      <c r="V79" s="4"/>
    </row>
    <row r="80" spans="1:22" s="6" customFormat="1" ht="12.75">
      <c r="A80" s="16"/>
      <c r="C80" s="275"/>
      <c r="D80" s="275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S80" s="4"/>
      <c r="T80" s="4"/>
      <c r="U80" s="4"/>
      <c r="V80" s="4"/>
    </row>
    <row r="81" spans="1:22" s="6" customFormat="1" ht="12.75">
      <c r="A81" s="16"/>
      <c r="C81" s="275"/>
      <c r="D81" s="275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S81" s="4"/>
      <c r="T81" s="4"/>
      <c r="U81" s="4"/>
      <c r="V81" s="4"/>
    </row>
    <row r="82" spans="1:22" s="6" customFormat="1" ht="12.75">
      <c r="A82" s="16"/>
      <c r="C82" s="275"/>
      <c r="D82" s="275"/>
      <c r="E82" s="4"/>
      <c r="F82" s="4"/>
      <c r="G82" s="4"/>
      <c r="H82" s="4"/>
      <c r="I82" s="4"/>
      <c r="J82" s="4"/>
      <c r="K82" s="4"/>
      <c r="L82" s="4"/>
      <c r="M82" s="4"/>
      <c r="O82" s="4"/>
      <c r="P82" s="4"/>
      <c r="Q82" s="4"/>
      <c r="R82" s="4"/>
      <c r="S82" s="4"/>
      <c r="T82" s="4"/>
      <c r="U82" s="4"/>
      <c r="V82" s="4"/>
    </row>
    <row r="83" spans="1:22" s="6" customFormat="1" ht="12.75">
      <c r="A83" s="16"/>
      <c r="C83" s="275"/>
      <c r="D83" s="275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R83" s="4"/>
      <c r="S83" s="4"/>
      <c r="T83" s="4"/>
      <c r="U83" s="4"/>
      <c r="V83" s="4"/>
    </row>
    <row r="84" spans="1:22" s="6" customFormat="1" ht="12.75">
      <c r="A84" s="16"/>
      <c r="C84" s="275"/>
      <c r="D84" s="275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R84" s="4"/>
      <c r="S84" s="4"/>
      <c r="T84" s="4"/>
      <c r="U84" s="4"/>
      <c r="V84" s="4"/>
    </row>
    <row r="85" spans="1:22" s="6" customFormat="1" ht="12.75">
      <c r="A85" s="16"/>
      <c r="C85" s="275"/>
      <c r="D85" s="275"/>
      <c r="E85" s="4"/>
      <c r="F85" s="4"/>
      <c r="G85" s="4"/>
      <c r="H85" s="4"/>
      <c r="I85" s="4"/>
      <c r="J85" s="4"/>
      <c r="K85" s="4"/>
      <c r="L85" s="4"/>
      <c r="M85" s="4"/>
      <c r="O85" s="4"/>
      <c r="P85" s="4"/>
      <c r="Q85" s="4"/>
      <c r="R85" s="4"/>
      <c r="S85" s="4"/>
      <c r="T85" s="4"/>
      <c r="U85" s="4"/>
      <c r="V85" s="4"/>
    </row>
    <row r="86" spans="1:22" s="6" customFormat="1" ht="12.75">
      <c r="A86" s="16"/>
      <c r="C86" s="275"/>
      <c r="D86" s="275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R86" s="4"/>
      <c r="S86" s="4"/>
      <c r="T86" s="4"/>
      <c r="U86" s="4"/>
      <c r="V86" s="4"/>
    </row>
    <row r="87" spans="1:22" s="6" customFormat="1" ht="12.75">
      <c r="A87" s="16"/>
      <c r="C87" s="275"/>
      <c r="D87" s="275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R87" s="4"/>
      <c r="S87" s="4"/>
      <c r="T87" s="4"/>
      <c r="U87" s="4"/>
      <c r="V87" s="4"/>
    </row>
    <row r="88" spans="1:22" s="6" customFormat="1" ht="12.75">
      <c r="A88" s="16"/>
      <c r="C88" s="275"/>
      <c r="D88" s="275"/>
      <c r="E88" s="4"/>
      <c r="F88" s="4"/>
      <c r="G88" s="4"/>
      <c r="H88" s="4"/>
      <c r="I88" s="4"/>
      <c r="J88" s="4"/>
      <c r="K88" s="4"/>
      <c r="L88" s="4"/>
      <c r="M88" s="4"/>
      <c r="O88" s="4"/>
      <c r="P88" s="4"/>
      <c r="Q88" s="4"/>
      <c r="R88" s="4"/>
      <c r="S88" s="4"/>
      <c r="T88" s="4"/>
      <c r="U88" s="4"/>
      <c r="V88" s="4"/>
    </row>
    <row r="89" spans="1:22" s="6" customFormat="1" ht="12.75">
      <c r="A89" s="16"/>
      <c r="C89" s="275"/>
      <c r="D89" s="275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R89" s="4"/>
      <c r="S89" s="4"/>
      <c r="T89" s="4"/>
      <c r="U89" s="4"/>
      <c r="V89" s="4"/>
    </row>
    <row r="90" spans="1:22" s="6" customFormat="1" ht="12.75">
      <c r="A90" s="16"/>
      <c r="C90" s="275"/>
      <c r="D90" s="275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R90" s="4"/>
      <c r="S90" s="4"/>
      <c r="T90" s="4"/>
      <c r="U90" s="4"/>
      <c r="V90" s="4"/>
    </row>
    <row r="91" spans="1:22" s="6" customFormat="1" ht="12.75">
      <c r="A91" s="16"/>
      <c r="C91" s="275"/>
      <c r="D91" s="275"/>
      <c r="E91" s="4"/>
      <c r="F91" s="4"/>
      <c r="G91" s="4"/>
      <c r="H91" s="4"/>
      <c r="I91" s="4"/>
      <c r="J91" s="4"/>
      <c r="K91" s="4"/>
      <c r="L91" s="4"/>
      <c r="M91" s="4"/>
      <c r="O91" s="4"/>
      <c r="P91" s="4"/>
      <c r="Q91" s="4"/>
      <c r="R91" s="4"/>
      <c r="S91" s="4"/>
      <c r="T91" s="4"/>
      <c r="U91" s="4"/>
      <c r="V91" s="4"/>
    </row>
    <row r="92" spans="1:22" s="6" customFormat="1" ht="12.75">
      <c r="A92" s="16"/>
      <c r="C92" s="275"/>
      <c r="D92" s="275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R92" s="4"/>
      <c r="S92" s="4"/>
      <c r="T92" s="4"/>
      <c r="U92" s="4"/>
      <c r="V92" s="4"/>
    </row>
    <row r="93" spans="1:22" s="6" customFormat="1" ht="12.75">
      <c r="A93" s="16"/>
      <c r="C93" s="275"/>
      <c r="D93" s="275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R93" s="4"/>
      <c r="S93" s="4"/>
      <c r="T93" s="4"/>
      <c r="U93" s="4"/>
      <c r="V93" s="4"/>
    </row>
    <row r="94" spans="1:22" s="6" customFormat="1" ht="12.75">
      <c r="A94" s="16"/>
      <c r="C94" s="275"/>
      <c r="D94" s="275"/>
      <c r="E94" s="4"/>
      <c r="F94" s="4"/>
      <c r="G94" s="4"/>
      <c r="H94" s="4"/>
      <c r="I94" s="4"/>
      <c r="J94" s="4"/>
      <c r="K94" s="4"/>
      <c r="L94" s="4"/>
      <c r="M94" s="4"/>
      <c r="O94" s="4"/>
      <c r="P94" s="4"/>
      <c r="Q94" s="4"/>
      <c r="R94" s="4"/>
      <c r="S94" s="4"/>
      <c r="T94" s="4"/>
      <c r="U94" s="4"/>
      <c r="V94" s="4"/>
    </row>
    <row r="95" spans="1:22" s="6" customFormat="1" ht="12.75">
      <c r="A95" s="16"/>
      <c r="C95" s="275"/>
      <c r="D95" s="275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S95" s="4"/>
      <c r="T95" s="4"/>
      <c r="U95" s="4"/>
      <c r="V95" s="4"/>
    </row>
    <row r="96" spans="1:22" s="6" customFormat="1" ht="12.75">
      <c r="A96" s="16"/>
      <c r="C96" s="275"/>
      <c r="D96" s="275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S96" s="4"/>
      <c r="T96" s="4"/>
      <c r="U96" s="4"/>
      <c r="V96" s="4"/>
    </row>
    <row r="97" spans="1:22" s="6" customFormat="1" ht="12.75">
      <c r="A97" s="16"/>
      <c r="C97" s="275"/>
      <c r="D97" s="275"/>
      <c r="E97" s="4"/>
      <c r="F97" s="4"/>
      <c r="G97" s="4"/>
      <c r="H97" s="4"/>
      <c r="I97" s="4"/>
      <c r="J97" s="4"/>
      <c r="K97" s="4"/>
      <c r="L97" s="4"/>
      <c r="M97" s="4"/>
      <c r="O97" s="4"/>
      <c r="P97" s="4"/>
      <c r="Q97" s="4"/>
      <c r="R97" s="4"/>
      <c r="S97" s="4"/>
      <c r="T97" s="4"/>
      <c r="U97" s="4"/>
      <c r="V97" s="4"/>
    </row>
    <row r="98" spans="1:22" s="6" customFormat="1" ht="12.75">
      <c r="A98" s="16"/>
      <c r="C98" s="275"/>
      <c r="D98" s="275"/>
      <c r="E98" s="4"/>
      <c r="F98" s="4"/>
      <c r="G98" s="4"/>
      <c r="H98" s="4"/>
      <c r="I98" s="4"/>
      <c r="J98" s="4"/>
      <c r="K98" s="4"/>
      <c r="L98" s="4"/>
      <c r="M98" s="4"/>
      <c r="O98" s="4"/>
      <c r="P98" s="4"/>
      <c r="Q98" s="4"/>
      <c r="R98" s="4"/>
      <c r="S98" s="4"/>
      <c r="T98" s="4"/>
      <c r="U98" s="4"/>
      <c r="V98" s="4"/>
    </row>
    <row r="99" spans="1:22" s="6" customFormat="1" ht="12.75">
      <c r="A99" s="16"/>
      <c r="C99" s="275"/>
      <c r="D99" s="275"/>
      <c r="E99" s="4"/>
      <c r="F99" s="4"/>
      <c r="G99" s="4"/>
      <c r="H99" s="4"/>
      <c r="I99" s="4"/>
      <c r="J99" s="4"/>
      <c r="K99" s="4"/>
      <c r="L99" s="4"/>
      <c r="M99" s="4"/>
      <c r="O99" s="4"/>
      <c r="P99" s="4"/>
      <c r="Q99" s="4"/>
      <c r="R99" s="4"/>
      <c r="S99" s="4"/>
      <c r="T99" s="4"/>
      <c r="U99" s="4"/>
      <c r="V99" s="4"/>
    </row>
    <row r="100" spans="1:22" s="6" customFormat="1" ht="12.75">
      <c r="A100" s="16"/>
      <c r="C100" s="275"/>
      <c r="D100" s="275"/>
      <c r="E100" s="4"/>
      <c r="F100" s="4"/>
      <c r="G100" s="4"/>
      <c r="H100" s="4"/>
      <c r="I100" s="4"/>
      <c r="J100" s="4"/>
      <c r="K100" s="4"/>
      <c r="L100" s="4"/>
      <c r="M100" s="4"/>
      <c r="O100" s="4"/>
      <c r="P100" s="4"/>
      <c r="Q100" s="4"/>
      <c r="R100" s="4"/>
      <c r="S100" s="4"/>
      <c r="T100" s="4"/>
      <c r="U100" s="4"/>
      <c r="V100" s="4"/>
    </row>
    <row r="101" spans="1:22" s="6" customFormat="1" ht="12.75">
      <c r="A101" s="16"/>
      <c r="C101" s="275"/>
      <c r="D101" s="275"/>
      <c r="E101" s="4"/>
      <c r="F101" s="4"/>
      <c r="G101" s="4"/>
      <c r="H101" s="4"/>
      <c r="I101" s="4"/>
      <c r="J101" s="4"/>
      <c r="K101" s="4"/>
      <c r="L101" s="4"/>
      <c r="M101" s="4"/>
      <c r="O101" s="4"/>
      <c r="P101" s="4"/>
      <c r="Q101" s="4"/>
      <c r="R101" s="4"/>
      <c r="S101" s="4"/>
      <c r="T101" s="4"/>
      <c r="U101" s="4"/>
      <c r="V101" s="4"/>
    </row>
    <row r="102" spans="1:22" s="6" customFormat="1" ht="12.75">
      <c r="A102" s="16"/>
      <c r="C102" s="275"/>
      <c r="D102" s="275"/>
      <c r="E102" s="4"/>
      <c r="F102" s="4"/>
      <c r="G102" s="4"/>
      <c r="H102" s="4"/>
      <c r="I102" s="4"/>
      <c r="J102" s="4"/>
      <c r="K102" s="4"/>
      <c r="L102" s="4"/>
      <c r="M102" s="4"/>
      <c r="O102" s="4"/>
      <c r="P102" s="4"/>
      <c r="Q102" s="4"/>
      <c r="R102" s="4"/>
      <c r="S102" s="4"/>
      <c r="T102" s="4"/>
      <c r="U102" s="4"/>
      <c r="V102" s="4"/>
    </row>
    <row r="103" spans="1:22" s="6" customFormat="1" ht="12.75">
      <c r="A103" s="16"/>
      <c r="C103" s="275"/>
      <c r="D103" s="275"/>
      <c r="E103" s="4"/>
      <c r="F103" s="4"/>
      <c r="G103" s="4"/>
      <c r="H103" s="4"/>
      <c r="I103" s="4"/>
      <c r="J103" s="4"/>
      <c r="K103" s="4"/>
      <c r="L103" s="4"/>
      <c r="M103" s="4"/>
      <c r="O103" s="4"/>
      <c r="P103" s="4"/>
      <c r="Q103" s="4"/>
      <c r="R103" s="4"/>
      <c r="S103" s="4"/>
      <c r="T103" s="4"/>
      <c r="U103" s="4"/>
      <c r="V103" s="4"/>
    </row>
    <row r="104" spans="1:22" s="6" customFormat="1" ht="12.75">
      <c r="A104" s="16"/>
      <c r="C104" s="275"/>
      <c r="D104" s="275"/>
      <c r="E104" s="4"/>
      <c r="F104" s="4"/>
      <c r="G104" s="4"/>
      <c r="H104" s="4"/>
      <c r="I104" s="4"/>
      <c r="J104" s="4"/>
      <c r="K104" s="4"/>
      <c r="L104" s="4"/>
      <c r="M104" s="4"/>
      <c r="O104" s="4"/>
      <c r="P104" s="4"/>
      <c r="Q104" s="4"/>
      <c r="R104" s="4"/>
      <c r="S104" s="4"/>
      <c r="T104" s="4"/>
      <c r="U104" s="4"/>
      <c r="V104" s="4"/>
    </row>
    <row r="105" spans="1:22" s="6" customFormat="1" ht="12.75">
      <c r="A105" s="16"/>
      <c r="C105" s="275"/>
      <c r="D105" s="275"/>
      <c r="E105" s="4"/>
      <c r="F105" s="4"/>
      <c r="G105" s="4"/>
      <c r="H105" s="4"/>
      <c r="I105" s="4"/>
      <c r="J105" s="4"/>
      <c r="K105" s="4"/>
      <c r="L105" s="4"/>
      <c r="M105" s="4"/>
      <c r="O105" s="4"/>
      <c r="P105" s="4"/>
      <c r="Q105" s="4"/>
      <c r="R105" s="4"/>
      <c r="S105" s="4"/>
      <c r="T105" s="4"/>
      <c r="U105" s="4"/>
      <c r="V105" s="4"/>
    </row>
    <row r="106" spans="1:22" s="6" customFormat="1" ht="12.75">
      <c r="A106" s="16"/>
      <c r="C106" s="275"/>
      <c r="D106" s="275"/>
      <c r="E106" s="4"/>
      <c r="F106" s="4"/>
      <c r="G106" s="4"/>
      <c r="H106" s="4"/>
      <c r="I106" s="4"/>
      <c r="J106" s="4"/>
      <c r="K106" s="4"/>
      <c r="L106" s="4"/>
      <c r="M106" s="4"/>
      <c r="O106" s="4"/>
      <c r="P106" s="4"/>
      <c r="Q106" s="4"/>
      <c r="R106" s="4"/>
      <c r="S106" s="4"/>
      <c r="T106" s="4"/>
      <c r="U106" s="4"/>
      <c r="V106" s="4"/>
    </row>
    <row r="107" spans="1:22" s="6" customFormat="1" ht="12.75">
      <c r="A107" s="16"/>
      <c r="C107" s="275"/>
      <c r="D107" s="275"/>
      <c r="E107" s="4"/>
      <c r="F107" s="4"/>
      <c r="G107" s="4"/>
      <c r="H107" s="4"/>
      <c r="I107" s="4"/>
      <c r="J107" s="4"/>
      <c r="K107" s="4"/>
      <c r="L107" s="4"/>
      <c r="M107" s="4"/>
      <c r="O107" s="4"/>
      <c r="P107" s="4"/>
      <c r="Q107" s="4"/>
      <c r="R107" s="4"/>
      <c r="S107" s="4"/>
      <c r="T107" s="4"/>
      <c r="U107" s="4"/>
      <c r="V107" s="4"/>
    </row>
    <row r="108" spans="1:22" s="6" customFormat="1" ht="12.75">
      <c r="A108" s="16"/>
      <c r="C108" s="275"/>
      <c r="D108" s="275"/>
      <c r="E108" s="4"/>
      <c r="F108" s="4"/>
      <c r="G108" s="4"/>
      <c r="H108" s="4"/>
      <c r="I108" s="4"/>
      <c r="J108" s="4"/>
      <c r="K108" s="4"/>
      <c r="L108" s="4"/>
      <c r="M108" s="4"/>
      <c r="O108" s="4"/>
      <c r="P108" s="4"/>
      <c r="Q108" s="4"/>
      <c r="R108" s="4"/>
      <c r="S108" s="4"/>
      <c r="T108" s="4"/>
      <c r="U108" s="4"/>
      <c r="V108" s="4"/>
    </row>
    <row r="109" spans="1:22" s="6" customFormat="1" ht="12.75">
      <c r="A109" s="16"/>
      <c r="C109" s="275"/>
      <c r="D109" s="275"/>
      <c r="E109" s="4"/>
      <c r="F109" s="4"/>
      <c r="G109" s="4"/>
      <c r="H109" s="4"/>
      <c r="I109" s="4"/>
      <c r="J109" s="4"/>
      <c r="K109" s="4"/>
      <c r="L109" s="4"/>
      <c r="M109" s="4"/>
      <c r="O109" s="4"/>
      <c r="P109" s="4"/>
      <c r="Q109" s="4"/>
      <c r="R109" s="4"/>
      <c r="S109" s="4"/>
      <c r="T109" s="4"/>
      <c r="U109" s="4"/>
      <c r="V109" s="4"/>
    </row>
    <row r="110" spans="1:22" s="6" customFormat="1" ht="12.75">
      <c r="A110" s="16"/>
      <c r="C110" s="275"/>
      <c r="D110" s="275"/>
      <c r="E110" s="4"/>
      <c r="F110" s="4"/>
      <c r="G110" s="4"/>
      <c r="H110" s="4"/>
      <c r="I110" s="4"/>
      <c r="J110" s="4"/>
      <c r="K110" s="4"/>
      <c r="L110" s="4"/>
      <c r="M110" s="4"/>
      <c r="O110" s="4"/>
      <c r="P110" s="4"/>
      <c r="Q110" s="4"/>
      <c r="R110" s="4"/>
      <c r="S110" s="4"/>
      <c r="T110" s="4"/>
      <c r="U110" s="4"/>
      <c r="V110" s="4"/>
    </row>
    <row r="111" spans="1:22" s="6" customFormat="1" ht="12.75">
      <c r="A111" s="16"/>
      <c r="C111" s="275"/>
      <c r="D111" s="275"/>
      <c r="E111" s="4"/>
      <c r="F111" s="4"/>
      <c r="G111" s="4"/>
      <c r="H111" s="4"/>
      <c r="I111" s="4"/>
      <c r="J111" s="4"/>
      <c r="K111" s="4"/>
      <c r="L111" s="4"/>
      <c r="M111" s="4"/>
      <c r="O111" s="4"/>
      <c r="P111" s="4"/>
      <c r="Q111" s="4"/>
      <c r="R111" s="4"/>
      <c r="S111" s="4"/>
      <c r="T111" s="4"/>
      <c r="U111" s="4"/>
      <c r="V111" s="4"/>
    </row>
    <row r="112" spans="1:22" s="6" customFormat="1" ht="12.75">
      <c r="A112" s="16"/>
      <c r="C112" s="275"/>
      <c r="D112" s="275"/>
      <c r="E112" s="4"/>
      <c r="F112" s="4"/>
      <c r="G112" s="4"/>
      <c r="H112" s="4"/>
      <c r="I112" s="4"/>
      <c r="J112" s="4"/>
      <c r="K112" s="4"/>
      <c r="L112" s="4"/>
      <c r="M112" s="4"/>
      <c r="O112" s="4"/>
      <c r="P112" s="4"/>
      <c r="Q112" s="4"/>
      <c r="R112" s="4"/>
      <c r="S112" s="4"/>
      <c r="T112" s="4"/>
      <c r="U112" s="4"/>
      <c r="V112" s="4"/>
    </row>
    <row r="113" spans="1:22" s="6" customFormat="1" ht="12.75">
      <c r="A113" s="16"/>
      <c r="C113" s="275"/>
      <c r="D113" s="275"/>
      <c r="E113" s="4"/>
      <c r="F113" s="4"/>
      <c r="G113" s="4"/>
      <c r="H113" s="4"/>
      <c r="I113" s="4"/>
      <c r="J113" s="4"/>
      <c r="K113" s="4"/>
      <c r="L113" s="4"/>
      <c r="M113" s="4"/>
      <c r="O113" s="4"/>
      <c r="P113" s="4"/>
      <c r="Q113" s="4"/>
      <c r="R113" s="4"/>
      <c r="S113" s="4"/>
      <c r="T113" s="4"/>
      <c r="U113" s="4"/>
      <c r="V113" s="4"/>
    </row>
    <row r="114" spans="1:22" s="6" customFormat="1" ht="12.75">
      <c r="A114" s="16"/>
      <c r="C114" s="275"/>
      <c r="D114" s="275"/>
      <c r="E114" s="4"/>
      <c r="F114" s="4"/>
      <c r="G114" s="4"/>
      <c r="H114" s="4"/>
      <c r="I114" s="4"/>
      <c r="J114" s="4"/>
      <c r="K114" s="4"/>
      <c r="L114" s="4"/>
      <c r="M114" s="4"/>
      <c r="O114" s="4"/>
      <c r="P114" s="4"/>
      <c r="Q114" s="4"/>
      <c r="R114" s="4"/>
      <c r="S114" s="4"/>
      <c r="T114" s="4"/>
      <c r="U114" s="4"/>
      <c r="V114" s="4"/>
    </row>
    <row r="115" spans="1:22" s="6" customFormat="1" ht="12.75">
      <c r="A115" s="16"/>
      <c r="C115" s="275"/>
      <c r="D115" s="275"/>
      <c r="E115" s="4"/>
      <c r="F115" s="4"/>
      <c r="G115" s="4"/>
      <c r="H115" s="4"/>
      <c r="I115" s="4"/>
      <c r="J115" s="4"/>
      <c r="K115" s="4"/>
      <c r="L115" s="4"/>
      <c r="M115" s="4"/>
      <c r="O115" s="4"/>
      <c r="P115" s="4"/>
      <c r="Q115" s="4"/>
      <c r="R115" s="4"/>
      <c r="S115" s="4"/>
      <c r="T115" s="4"/>
      <c r="U115" s="4"/>
      <c r="V115" s="4"/>
    </row>
    <row r="116" spans="1:22" s="6" customFormat="1" ht="12.75">
      <c r="A116" s="16"/>
      <c r="C116" s="275"/>
      <c r="D116" s="275"/>
      <c r="E116" s="4"/>
      <c r="F116" s="4"/>
      <c r="G116" s="4"/>
      <c r="H116" s="4"/>
      <c r="I116" s="4"/>
      <c r="J116" s="4"/>
      <c r="K116" s="4"/>
      <c r="L116" s="4"/>
      <c r="M116" s="4"/>
      <c r="O116" s="4"/>
      <c r="P116" s="4"/>
      <c r="Q116" s="4"/>
      <c r="R116" s="4"/>
      <c r="S116" s="4"/>
      <c r="T116" s="4"/>
      <c r="U116" s="4"/>
      <c r="V116" s="4"/>
    </row>
    <row r="117" spans="1:22" s="6" customFormat="1" ht="12.75">
      <c r="A117" s="16"/>
      <c r="C117" s="275"/>
      <c r="D117" s="275"/>
      <c r="E117" s="4"/>
      <c r="F117" s="4"/>
      <c r="G117" s="4"/>
      <c r="H117" s="4"/>
      <c r="I117" s="4"/>
      <c r="J117" s="4"/>
      <c r="K117" s="4"/>
      <c r="L117" s="4"/>
      <c r="M117" s="4"/>
      <c r="O117" s="4"/>
      <c r="P117" s="4"/>
      <c r="Q117" s="4"/>
      <c r="R117" s="4"/>
      <c r="S117" s="4"/>
      <c r="T117" s="4"/>
      <c r="U117" s="4"/>
      <c r="V117" s="4"/>
    </row>
    <row r="118" spans="1:22" s="6" customFormat="1" ht="12.75">
      <c r="A118" s="16"/>
      <c r="C118" s="275"/>
      <c r="D118" s="275"/>
      <c r="E118" s="4"/>
      <c r="F118" s="4"/>
      <c r="G118" s="4"/>
      <c r="H118" s="4"/>
      <c r="I118" s="4"/>
      <c r="J118" s="4"/>
      <c r="K118" s="4"/>
      <c r="L118" s="4"/>
      <c r="M118" s="4"/>
      <c r="O118" s="4"/>
      <c r="P118" s="4"/>
      <c r="Q118" s="4"/>
      <c r="R118" s="4"/>
      <c r="S118" s="4"/>
      <c r="T118" s="4"/>
      <c r="U118" s="4"/>
      <c r="V118" s="4"/>
    </row>
    <row r="119" spans="1:22" s="6" customFormat="1" ht="12.75">
      <c r="A119" s="16"/>
      <c r="C119" s="275"/>
      <c r="D119" s="275"/>
      <c r="E119" s="4"/>
      <c r="F119" s="4"/>
      <c r="G119" s="4"/>
      <c r="H119" s="4"/>
      <c r="I119" s="4"/>
      <c r="J119" s="4"/>
      <c r="K119" s="4"/>
      <c r="L119" s="4"/>
      <c r="M119" s="4"/>
      <c r="O119" s="4"/>
      <c r="P119" s="4"/>
      <c r="Q119" s="4"/>
      <c r="R119" s="4"/>
      <c r="S119" s="4"/>
      <c r="T119" s="4"/>
      <c r="U119" s="4"/>
      <c r="V119" s="4"/>
    </row>
    <row r="120" spans="1:22" s="6" customFormat="1" ht="12.75">
      <c r="A120" s="16"/>
      <c r="C120" s="275"/>
      <c r="D120" s="275"/>
      <c r="E120" s="4"/>
      <c r="F120" s="4"/>
      <c r="G120" s="4"/>
      <c r="H120" s="4"/>
      <c r="I120" s="4"/>
      <c r="J120" s="4"/>
      <c r="K120" s="4"/>
      <c r="L120" s="4"/>
      <c r="M120" s="4"/>
      <c r="O120" s="4"/>
      <c r="P120" s="4"/>
      <c r="Q120" s="4"/>
      <c r="R120" s="4"/>
      <c r="S120" s="4"/>
      <c r="T120" s="4"/>
      <c r="U120" s="4"/>
      <c r="V120" s="4"/>
    </row>
    <row r="121" spans="1:22" s="6" customFormat="1" ht="12.75">
      <c r="A121" s="16"/>
      <c r="C121" s="275"/>
      <c r="D121" s="275"/>
      <c r="E121" s="4"/>
      <c r="F121" s="4"/>
      <c r="G121" s="4"/>
      <c r="H121" s="4"/>
      <c r="I121" s="4"/>
      <c r="J121" s="4"/>
      <c r="K121" s="4"/>
      <c r="L121" s="4"/>
      <c r="M121" s="4"/>
      <c r="O121" s="4"/>
      <c r="P121" s="4"/>
      <c r="Q121" s="4"/>
      <c r="R121" s="4"/>
      <c r="S121" s="4"/>
      <c r="T121" s="4"/>
      <c r="U121" s="4"/>
      <c r="V121" s="4"/>
    </row>
    <row r="122" spans="1:22" s="6" customFormat="1" ht="12.75">
      <c r="A122" s="16"/>
      <c r="C122" s="275"/>
      <c r="D122" s="275"/>
      <c r="E122" s="4"/>
      <c r="F122" s="4"/>
      <c r="G122" s="4"/>
      <c r="H122" s="4"/>
      <c r="I122" s="4"/>
      <c r="J122" s="4"/>
      <c r="K122" s="4"/>
      <c r="L122" s="4"/>
      <c r="M122" s="4"/>
      <c r="O122" s="4"/>
      <c r="P122" s="4"/>
      <c r="Q122" s="4"/>
      <c r="R122" s="4"/>
      <c r="S122" s="4"/>
      <c r="T122" s="4"/>
      <c r="U122" s="4"/>
      <c r="V122" s="4"/>
    </row>
    <row r="123" spans="1:22" s="6" customFormat="1" ht="12.75">
      <c r="A123" s="16"/>
      <c r="C123" s="275"/>
      <c r="D123" s="275"/>
      <c r="E123" s="4"/>
      <c r="F123" s="4"/>
      <c r="G123" s="4"/>
      <c r="H123" s="4"/>
      <c r="I123" s="4"/>
      <c r="J123" s="4"/>
      <c r="K123" s="4"/>
      <c r="L123" s="4"/>
      <c r="M123" s="4"/>
      <c r="O123" s="4"/>
      <c r="P123" s="4"/>
      <c r="Q123" s="4"/>
      <c r="R123" s="4"/>
      <c r="S123" s="4"/>
      <c r="T123" s="4"/>
      <c r="U123" s="4"/>
      <c r="V123" s="4"/>
    </row>
    <row r="124" spans="1:22" s="6" customFormat="1" ht="12.75">
      <c r="A124" s="16"/>
      <c r="C124" s="275"/>
      <c r="D124" s="275"/>
      <c r="E124" s="4"/>
      <c r="F124" s="4"/>
      <c r="G124" s="4"/>
      <c r="H124" s="4"/>
      <c r="I124" s="4"/>
      <c r="J124" s="4"/>
      <c r="K124" s="4"/>
      <c r="L124" s="4"/>
      <c r="M124" s="4"/>
      <c r="O124" s="4"/>
      <c r="P124" s="4"/>
      <c r="Q124" s="4"/>
      <c r="R124" s="4"/>
      <c r="S124" s="4"/>
      <c r="T124" s="4"/>
      <c r="U124" s="4"/>
      <c r="V124" s="4"/>
    </row>
    <row r="125" spans="1:22" s="6" customFormat="1" ht="12.75">
      <c r="A125" s="16"/>
      <c r="C125" s="275"/>
      <c r="D125" s="275"/>
      <c r="E125" s="4"/>
      <c r="F125" s="4"/>
      <c r="G125" s="4"/>
      <c r="H125" s="4"/>
      <c r="I125" s="4"/>
      <c r="J125" s="4"/>
      <c r="K125" s="4"/>
      <c r="L125" s="4"/>
      <c r="M125" s="4"/>
      <c r="O125" s="4"/>
      <c r="P125" s="4"/>
      <c r="Q125" s="4"/>
      <c r="R125" s="4"/>
      <c r="S125" s="4"/>
      <c r="T125" s="4"/>
      <c r="U125" s="4"/>
      <c r="V125" s="4"/>
    </row>
    <row r="126" spans="1:22" s="6" customFormat="1" ht="12.75">
      <c r="A126" s="16"/>
      <c r="C126" s="275"/>
      <c r="D126" s="275"/>
      <c r="E126" s="4"/>
      <c r="F126" s="4"/>
      <c r="G126" s="4"/>
      <c r="H126" s="4"/>
      <c r="I126" s="4"/>
      <c r="J126" s="4"/>
      <c r="K126" s="4"/>
      <c r="L126" s="4"/>
      <c r="M126" s="4"/>
      <c r="O126" s="4"/>
      <c r="P126" s="4"/>
      <c r="Q126" s="4"/>
      <c r="R126" s="4"/>
      <c r="S126" s="4"/>
      <c r="T126" s="4"/>
      <c r="U126" s="4"/>
      <c r="V126" s="4"/>
    </row>
    <row r="127" spans="1:22" s="6" customFormat="1" ht="12.75">
      <c r="A127" s="16"/>
      <c r="C127" s="275"/>
      <c r="D127" s="275"/>
      <c r="E127" s="4"/>
      <c r="F127" s="4"/>
      <c r="G127" s="4"/>
      <c r="H127" s="4"/>
      <c r="I127" s="4"/>
      <c r="J127" s="4"/>
      <c r="K127" s="4"/>
      <c r="L127" s="4"/>
      <c r="M127" s="4"/>
      <c r="O127" s="4"/>
      <c r="P127" s="4"/>
      <c r="Q127" s="4"/>
      <c r="R127" s="4"/>
      <c r="S127" s="4"/>
      <c r="T127" s="4"/>
      <c r="U127" s="4"/>
      <c r="V127" s="4"/>
    </row>
    <row r="128" spans="1:22" s="6" customFormat="1" ht="12.75">
      <c r="A128" s="16"/>
      <c r="C128" s="275"/>
      <c r="D128" s="275"/>
      <c r="E128" s="4"/>
      <c r="F128" s="4"/>
      <c r="G128" s="4"/>
      <c r="H128" s="4"/>
      <c r="I128" s="4"/>
      <c r="J128" s="4"/>
      <c r="K128" s="4"/>
      <c r="L128" s="4"/>
      <c r="M128" s="4"/>
      <c r="O128" s="4"/>
      <c r="P128" s="4"/>
      <c r="Q128" s="4"/>
      <c r="R128" s="4"/>
      <c r="S128" s="4"/>
      <c r="T128" s="4"/>
      <c r="U128" s="4"/>
      <c r="V128" s="4"/>
    </row>
    <row r="129" spans="1:22" s="6" customFormat="1" ht="12.75">
      <c r="A129" s="16"/>
      <c r="C129" s="275"/>
      <c r="D129" s="275"/>
      <c r="E129" s="4"/>
      <c r="F129" s="4"/>
      <c r="G129" s="4"/>
      <c r="H129" s="4"/>
      <c r="I129" s="4"/>
      <c r="J129" s="4"/>
      <c r="K129" s="4"/>
      <c r="L129" s="4"/>
      <c r="M129" s="4"/>
      <c r="O129" s="4"/>
      <c r="P129" s="4"/>
      <c r="Q129" s="4"/>
      <c r="R129" s="4"/>
      <c r="S129" s="4"/>
      <c r="T129" s="4"/>
      <c r="U129" s="4"/>
      <c r="V129" s="4"/>
    </row>
    <row r="130" spans="1:22" s="6" customFormat="1" ht="12.75">
      <c r="A130" s="16"/>
      <c r="C130" s="275"/>
      <c r="D130" s="275"/>
      <c r="E130" s="4"/>
      <c r="F130" s="4"/>
      <c r="G130" s="4"/>
      <c r="H130" s="4"/>
      <c r="I130" s="4"/>
      <c r="J130" s="4"/>
      <c r="K130" s="4"/>
      <c r="L130" s="4"/>
      <c r="M130" s="4"/>
      <c r="O130" s="4"/>
      <c r="P130" s="4"/>
      <c r="Q130" s="4"/>
      <c r="R130" s="4"/>
      <c r="S130" s="4"/>
      <c r="T130" s="4"/>
      <c r="U130" s="4"/>
      <c r="V130" s="4"/>
    </row>
    <row r="131" spans="1:22" s="6" customFormat="1" ht="12.75">
      <c r="A131" s="16"/>
      <c r="C131" s="275"/>
      <c r="D131" s="275"/>
      <c r="E131" s="4"/>
      <c r="F131" s="4"/>
      <c r="G131" s="4"/>
      <c r="H131" s="4"/>
      <c r="I131" s="4"/>
      <c r="J131" s="4"/>
      <c r="K131" s="4"/>
      <c r="L131" s="4"/>
      <c r="M131" s="4"/>
      <c r="O131" s="4"/>
      <c r="P131" s="4"/>
      <c r="Q131" s="4"/>
      <c r="R131" s="4"/>
      <c r="S131" s="4"/>
      <c r="T131" s="4"/>
      <c r="U131" s="4"/>
      <c r="V131" s="4"/>
    </row>
    <row r="132" spans="1:22" s="6" customFormat="1" ht="12.75">
      <c r="A132" s="16"/>
      <c r="C132" s="275"/>
      <c r="D132" s="275"/>
      <c r="E132" s="4"/>
      <c r="F132" s="4"/>
      <c r="G132" s="4"/>
      <c r="H132" s="4"/>
      <c r="I132" s="4"/>
      <c r="J132" s="4"/>
      <c r="K132" s="4"/>
      <c r="L132" s="4"/>
      <c r="M132" s="4"/>
      <c r="O132" s="4"/>
      <c r="P132" s="4"/>
      <c r="Q132" s="4"/>
      <c r="R132" s="4"/>
      <c r="S132" s="4"/>
      <c r="T132" s="4"/>
      <c r="U132" s="4"/>
      <c r="V132" s="4"/>
    </row>
    <row r="133" spans="1:22" s="6" customFormat="1" ht="12.75">
      <c r="A133" s="16"/>
      <c r="C133" s="275"/>
      <c r="D133" s="275"/>
      <c r="E133" s="4"/>
      <c r="F133" s="4"/>
      <c r="G133" s="4"/>
      <c r="H133" s="4"/>
      <c r="I133" s="4"/>
      <c r="J133" s="4"/>
      <c r="K133" s="4"/>
      <c r="L133" s="4"/>
      <c r="M133" s="4"/>
      <c r="O133" s="4"/>
      <c r="P133" s="4"/>
      <c r="Q133" s="4"/>
      <c r="R133" s="4"/>
      <c r="S133" s="4"/>
      <c r="T133" s="4"/>
      <c r="U133" s="4"/>
      <c r="V133" s="4"/>
    </row>
    <row r="134" spans="1:22" s="6" customFormat="1" ht="12.75">
      <c r="A134" s="16"/>
      <c r="C134" s="275"/>
      <c r="D134" s="275"/>
      <c r="E134" s="4"/>
      <c r="F134" s="4"/>
      <c r="G134" s="4"/>
      <c r="H134" s="4"/>
      <c r="I134" s="4"/>
      <c r="J134" s="4"/>
      <c r="K134" s="4"/>
      <c r="L134" s="4"/>
      <c r="M134" s="4"/>
      <c r="O134" s="4"/>
      <c r="P134" s="4"/>
      <c r="Q134" s="4"/>
      <c r="R134" s="4"/>
      <c r="S134" s="4"/>
      <c r="T134" s="4"/>
      <c r="U134" s="4"/>
      <c r="V134" s="4"/>
    </row>
    <row r="135" spans="1:22" s="6" customFormat="1" ht="12.75">
      <c r="A135" s="16"/>
      <c r="C135" s="275"/>
      <c r="D135" s="275"/>
      <c r="E135" s="4"/>
      <c r="F135" s="4"/>
      <c r="G135" s="4"/>
      <c r="H135" s="4"/>
      <c r="I135" s="4"/>
      <c r="J135" s="4"/>
      <c r="K135" s="4"/>
      <c r="L135" s="4"/>
      <c r="M135" s="4"/>
      <c r="O135" s="4"/>
      <c r="P135" s="4"/>
      <c r="Q135" s="4"/>
      <c r="R135" s="4"/>
      <c r="S135" s="4"/>
      <c r="T135" s="4"/>
      <c r="U135" s="4"/>
      <c r="V135" s="4"/>
    </row>
    <row r="136" spans="1:22" s="6" customFormat="1" ht="12.75">
      <c r="A136" s="16"/>
      <c r="C136" s="275"/>
      <c r="D136" s="275"/>
      <c r="E136" s="4"/>
      <c r="F136" s="4"/>
      <c r="G136" s="4"/>
      <c r="H136" s="4"/>
      <c r="I136" s="4"/>
      <c r="J136" s="4"/>
      <c r="K136" s="4"/>
      <c r="L136" s="4"/>
      <c r="M136" s="4"/>
      <c r="O136" s="4"/>
      <c r="P136" s="4"/>
      <c r="Q136" s="4"/>
      <c r="R136" s="4"/>
      <c r="S136" s="4"/>
      <c r="T136" s="4"/>
      <c r="U136" s="4"/>
      <c r="V136" s="4"/>
    </row>
    <row r="137" spans="1:22" s="6" customFormat="1" ht="12.75">
      <c r="A137" s="16"/>
      <c r="C137" s="275"/>
      <c r="D137" s="275"/>
      <c r="E137" s="4"/>
      <c r="F137" s="4"/>
      <c r="G137" s="4"/>
      <c r="H137" s="4"/>
      <c r="I137" s="4"/>
      <c r="J137" s="4"/>
      <c r="K137" s="4"/>
      <c r="L137" s="4"/>
      <c r="M137" s="4"/>
      <c r="O137" s="4"/>
      <c r="P137" s="4"/>
      <c r="Q137" s="4"/>
      <c r="R137" s="4"/>
      <c r="S137" s="4"/>
      <c r="T137" s="4"/>
      <c r="U137" s="4"/>
      <c r="V137" s="4"/>
    </row>
    <row r="138" spans="1:22" s="6" customFormat="1" ht="12.75">
      <c r="A138" s="16"/>
      <c r="C138" s="275"/>
      <c r="D138" s="275"/>
      <c r="E138" s="4"/>
      <c r="F138" s="4"/>
      <c r="G138" s="4"/>
      <c r="H138" s="4"/>
      <c r="I138" s="4"/>
      <c r="J138" s="4"/>
      <c r="K138" s="4"/>
      <c r="L138" s="4"/>
      <c r="M138" s="4"/>
      <c r="O138" s="4"/>
      <c r="P138" s="4"/>
      <c r="Q138" s="4"/>
      <c r="R138" s="4"/>
      <c r="S138" s="4"/>
      <c r="T138" s="4"/>
      <c r="U138" s="4"/>
      <c r="V138" s="4"/>
    </row>
    <row r="139" spans="1:22" s="6" customFormat="1" ht="12.75">
      <c r="A139" s="16"/>
      <c r="C139" s="275"/>
      <c r="D139" s="275"/>
      <c r="E139" s="4"/>
      <c r="F139" s="4"/>
      <c r="G139" s="4"/>
      <c r="H139" s="4"/>
      <c r="I139" s="4"/>
      <c r="J139" s="4"/>
      <c r="K139" s="4"/>
      <c r="L139" s="4"/>
      <c r="M139" s="4"/>
      <c r="O139" s="4"/>
      <c r="P139" s="4"/>
      <c r="Q139" s="4"/>
      <c r="R139" s="4"/>
      <c r="S139" s="4"/>
      <c r="T139" s="4"/>
      <c r="U139" s="4"/>
      <c r="V139" s="4"/>
    </row>
    <row r="140" spans="1:22" s="6" customFormat="1" ht="12.75">
      <c r="A140" s="16"/>
      <c r="C140" s="275"/>
      <c r="D140" s="275"/>
      <c r="E140" s="4"/>
      <c r="F140" s="4"/>
      <c r="G140" s="4"/>
      <c r="H140" s="4"/>
      <c r="I140" s="4"/>
      <c r="J140" s="4"/>
      <c r="K140" s="4"/>
      <c r="L140" s="4"/>
      <c r="M140" s="4"/>
      <c r="O140" s="4"/>
      <c r="P140" s="4"/>
      <c r="Q140" s="4"/>
      <c r="R140" s="4"/>
      <c r="S140" s="4"/>
      <c r="T140" s="4"/>
      <c r="U140" s="4"/>
      <c r="V140" s="4"/>
    </row>
    <row r="141" spans="1:22" s="6" customFormat="1" ht="12.75">
      <c r="A141" s="16"/>
      <c r="C141" s="275"/>
      <c r="D141" s="275"/>
      <c r="E141" s="4"/>
      <c r="F141" s="4"/>
      <c r="G141" s="4"/>
      <c r="H141" s="4"/>
      <c r="I141" s="4"/>
      <c r="J141" s="4"/>
      <c r="K141" s="4"/>
      <c r="L141" s="4"/>
      <c r="M141" s="4"/>
      <c r="O141" s="4"/>
      <c r="P141" s="4"/>
      <c r="Q141" s="4"/>
      <c r="R141" s="4"/>
      <c r="S141" s="4"/>
      <c r="T141" s="4"/>
      <c r="U141" s="4"/>
      <c r="V141" s="4"/>
    </row>
    <row r="142" spans="1:22" s="6" customFormat="1" ht="12.75">
      <c r="A142" s="16"/>
      <c r="C142" s="275"/>
      <c r="D142" s="275"/>
      <c r="E142" s="4"/>
      <c r="F142" s="4"/>
      <c r="G142" s="4"/>
      <c r="H142" s="4"/>
      <c r="I142" s="4"/>
      <c r="J142" s="4"/>
      <c r="K142" s="4"/>
      <c r="L142" s="4"/>
      <c r="M142" s="4"/>
      <c r="O142" s="4"/>
      <c r="P142" s="4"/>
      <c r="Q142" s="4"/>
      <c r="R142" s="4"/>
      <c r="S142" s="4"/>
      <c r="T142" s="4"/>
      <c r="U142" s="4"/>
      <c r="V142" s="4"/>
    </row>
    <row r="143" spans="1:22" s="6" customFormat="1" ht="12.75">
      <c r="A143" s="16"/>
      <c r="C143" s="275"/>
      <c r="D143" s="275"/>
      <c r="E143" s="4"/>
      <c r="F143" s="4"/>
      <c r="G143" s="4"/>
      <c r="H143" s="4"/>
      <c r="I143" s="4"/>
      <c r="J143" s="4"/>
      <c r="K143" s="4"/>
      <c r="L143" s="4"/>
      <c r="M143" s="4"/>
      <c r="O143" s="4"/>
      <c r="P143" s="4"/>
      <c r="Q143" s="4"/>
      <c r="R143" s="4"/>
      <c r="S143" s="4"/>
      <c r="T143" s="4"/>
      <c r="U143" s="4"/>
      <c r="V143" s="4"/>
    </row>
    <row r="144" spans="1:22" s="6" customFormat="1" ht="12.75">
      <c r="A144" s="16"/>
      <c r="C144" s="275"/>
      <c r="D144" s="275"/>
      <c r="E144" s="4"/>
      <c r="F144" s="4"/>
      <c r="G144" s="4"/>
      <c r="H144" s="4"/>
      <c r="I144" s="4"/>
      <c r="J144" s="4"/>
      <c r="K144" s="4"/>
      <c r="L144" s="4"/>
      <c r="M144" s="4"/>
      <c r="O144" s="4"/>
      <c r="P144" s="4"/>
      <c r="Q144" s="4"/>
      <c r="R144" s="4"/>
      <c r="S144" s="4"/>
      <c r="T144" s="4"/>
      <c r="U144" s="4"/>
      <c r="V144" s="4"/>
    </row>
    <row r="145" spans="1:22" s="6" customFormat="1" ht="12.75">
      <c r="A145" s="16"/>
      <c r="C145" s="275"/>
      <c r="D145" s="275"/>
      <c r="E145" s="4"/>
      <c r="F145" s="4"/>
      <c r="G145" s="4"/>
      <c r="H145" s="4"/>
      <c r="I145" s="4"/>
      <c r="J145" s="4"/>
      <c r="K145" s="4"/>
      <c r="L145" s="4"/>
      <c r="M145" s="4"/>
      <c r="O145" s="4"/>
      <c r="P145" s="4"/>
      <c r="Q145" s="4"/>
      <c r="R145" s="4"/>
      <c r="S145" s="4"/>
      <c r="T145" s="4"/>
      <c r="U145" s="4"/>
      <c r="V145" s="4"/>
    </row>
    <row r="146" spans="1:22" s="6" customFormat="1" ht="12.75">
      <c r="A146" s="16"/>
      <c r="C146" s="275"/>
      <c r="D146" s="275"/>
      <c r="E146" s="4"/>
      <c r="F146" s="4"/>
      <c r="G146" s="4"/>
      <c r="H146" s="4"/>
      <c r="I146" s="4"/>
      <c r="J146" s="4"/>
      <c r="K146" s="4"/>
      <c r="L146" s="4"/>
      <c r="M146" s="4"/>
      <c r="O146" s="4"/>
      <c r="P146" s="4"/>
      <c r="Q146" s="4"/>
      <c r="R146" s="4"/>
      <c r="S146" s="4"/>
      <c r="T146" s="4"/>
      <c r="U146" s="4"/>
      <c r="V146" s="4"/>
    </row>
    <row r="147" spans="1:22" s="6" customFormat="1" ht="12.75">
      <c r="A147" s="16"/>
      <c r="C147" s="275"/>
      <c r="D147" s="275"/>
      <c r="E147" s="4"/>
      <c r="F147" s="4"/>
      <c r="G147" s="4"/>
      <c r="H147" s="4"/>
      <c r="I147" s="4"/>
      <c r="J147" s="4"/>
      <c r="K147" s="4"/>
      <c r="L147" s="4"/>
      <c r="M147" s="4"/>
      <c r="O147" s="4"/>
      <c r="P147" s="4"/>
      <c r="Q147" s="4"/>
      <c r="R147" s="4"/>
      <c r="S147" s="4"/>
      <c r="T147" s="4"/>
      <c r="U147" s="4"/>
      <c r="V147" s="4"/>
    </row>
    <row r="148" spans="1:22" s="6" customFormat="1" ht="12.75">
      <c r="A148" s="16"/>
      <c r="C148" s="275"/>
      <c r="D148" s="275"/>
      <c r="E148" s="4"/>
      <c r="F148" s="4"/>
      <c r="G148" s="4"/>
      <c r="H148" s="4"/>
      <c r="I148" s="4"/>
      <c r="J148" s="4"/>
      <c r="K148" s="4"/>
      <c r="L148" s="4"/>
      <c r="M148" s="4"/>
      <c r="O148" s="4"/>
      <c r="P148" s="4"/>
      <c r="Q148" s="4"/>
      <c r="R148" s="4"/>
      <c r="S148" s="4"/>
      <c r="T148" s="4"/>
      <c r="U148" s="4"/>
      <c r="V148" s="4"/>
    </row>
    <row r="149" spans="1:22" s="6" customFormat="1" ht="12.75">
      <c r="A149" s="16"/>
      <c r="C149" s="275"/>
      <c r="D149" s="275"/>
      <c r="E149" s="4"/>
      <c r="F149" s="4"/>
      <c r="G149" s="4"/>
      <c r="H149" s="4"/>
      <c r="I149" s="4"/>
      <c r="J149" s="4"/>
      <c r="K149" s="4"/>
      <c r="L149" s="4"/>
      <c r="M149" s="4"/>
      <c r="O149" s="4"/>
      <c r="P149" s="4"/>
      <c r="Q149" s="4"/>
      <c r="R149" s="4"/>
      <c r="S149" s="4"/>
      <c r="T149" s="4"/>
      <c r="U149" s="4"/>
      <c r="V149" s="4"/>
    </row>
    <row r="150" spans="1:22" s="6" customFormat="1" ht="12.75">
      <c r="A150" s="16"/>
      <c r="C150" s="275"/>
      <c r="D150" s="275"/>
      <c r="E150" s="4"/>
      <c r="F150" s="4"/>
      <c r="G150" s="4"/>
      <c r="H150" s="4"/>
      <c r="I150" s="4"/>
      <c r="J150" s="4"/>
      <c r="K150" s="4"/>
      <c r="L150" s="4"/>
      <c r="M150" s="4"/>
      <c r="O150" s="4"/>
      <c r="P150" s="4"/>
      <c r="Q150" s="4"/>
      <c r="R150" s="4"/>
      <c r="S150" s="4"/>
      <c r="T150" s="4"/>
      <c r="U150" s="4"/>
      <c r="V150" s="4"/>
    </row>
    <row r="151" spans="1:22" s="6" customFormat="1" ht="12.75">
      <c r="A151" s="16"/>
      <c r="C151" s="275"/>
      <c r="D151" s="275"/>
      <c r="E151" s="4"/>
      <c r="F151" s="4"/>
      <c r="G151" s="4"/>
      <c r="H151" s="4"/>
      <c r="I151" s="4"/>
      <c r="J151" s="4"/>
      <c r="K151" s="4"/>
      <c r="L151" s="4"/>
      <c r="M151" s="4"/>
      <c r="O151" s="4"/>
      <c r="P151" s="4"/>
      <c r="Q151" s="4"/>
      <c r="R151" s="4"/>
      <c r="S151" s="4"/>
      <c r="T151" s="4"/>
      <c r="U151" s="4"/>
      <c r="V151" s="4"/>
    </row>
    <row r="152" spans="1:22" s="6" customFormat="1" ht="12.75">
      <c r="A152" s="16"/>
      <c r="C152" s="275"/>
      <c r="D152" s="275"/>
      <c r="E152" s="4"/>
      <c r="F152" s="4"/>
      <c r="G152" s="4"/>
      <c r="H152" s="4"/>
      <c r="I152" s="4"/>
      <c r="J152" s="4"/>
      <c r="K152" s="4"/>
      <c r="L152" s="4"/>
      <c r="M152" s="4"/>
      <c r="O152" s="4"/>
      <c r="P152" s="4"/>
      <c r="Q152" s="4"/>
      <c r="R152" s="4"/>
      <c r="S152" s="4"/>
      <c r="T152" s="4"/>
      <c r="U152" s="4"/>
      <c r="V152" s="4"/>
    </row>
    <row r="153" spans="1:22" s="6" customFormat="1" ht="12.75">
      <c r="A153" s="16"/>
      <c r="C153" s="275"/>
      <c r="D153" s="275"/>
      <c r="E153" s="4"/>
      <c r="F153" s="4"/>
      <c r="G153" s="4"/>
      <c r="H153" s="4"/>
      <c r="I153" s="4"/>
      <c r="J153" s="4"/>
      <c r="K153" s="4"/>
      <c r="L153" s="4"/>
      <c r="M153" s="4"/>
      <c r="O153" s="4"/>
      <c r="P153" s="4"/>
      <c r="Q153" s="4"/>
      <c r="R153" s="4"/>
      <c r="S153" s="4"/>
      <c r="T153" s="4"/>
      <c r="U153" s="4"/>
      <c r="V153" s="4"/>
    </row>
    <row r="154" spans="1:22" s="6" customFormat="1" ht="12.75">
      <c r="A154" s="16"/>
      <c r="C154" s="275"/>
      <c r="D154" s="275"/>
      <c r="E154" s="4"/>
      <c r="F154" s="4"/>
      <c r="G154" s="4"/>
      <c r="H154" s="4"/>
      <c r="I154" s="4"/>
      <c r="J154" s="4"/>
      <c r="K154" s="4"/>
      <c r="L154" s="4"/>
      <c r="M154" s="4"/>
      <c r="O154" s="4"/>
      <c r="P154" s="4"/>
      <c r="Q154" s="4"/>
      <c r="R154" s="4"/>
      <c r="S154" s="4"/>
      <c r="T154" s="4"/>
      <c r="U154" s="4"/>
      <c r="V154" s="4"/>
    </row>
    <row r="155" spans="1:22" s="6" customFormat="1" ht="12.75">
      <c r="A155" s="16"/>
      <c r="C155" s="275"/>
      <c r="D155" s="275"/>
      <c r="E155" s="4"/>
      <c r="F155" s="4"/>
      <c r="G155" s="4"/>
      <c r="H155" s="4"/>
      <c r="I155" s="4"/>
      <c r="J155" s="4"/>
      <c r="K155" s="4"/>
      <c r="L155" s="4"/>
      <c r="M155" s="4"/>
      <c r="O155" s="4"/>
      <c r="P155" s="4"/>
      <c r="Q155" s="4"/>
      <c r="R155" s="4"/>
      <c r="S155" s="4"/>
      <c r="T155" s="4"/>
      <c r="U155" s="4"/>
      <c r="V155" s="4"/>
    </row>
    <row r="156" spans="1:22" s="6" customFormat="1" ht="12.75">
      <c r="A156" s="16"/>
      <c r="C156" s="275"/>
      <c r="D156" s="275"/>
      <c r="E156" s="4"/>
      <c r="F156" s="4"/>
      <c r="G156" s="4"/>
      <c r="H156" s="4"/>
      <c r="I156" s="4"/>
      <c r="J156" s="4"/>
      <c r="K156" s="4"/>
      <c r="L156" s="4"/>
      <c r="M156" s="4"/>
      <c r="O156" s="4"/>
      <c r="P156" s="4"/>
      <c r="Q156" s="4"/>
      <c r="R156" s="4"/>
      <c r="S156" s="4"/>
      <c r="T156" s="4"/>
      <c r="U156" s="4"/>
      <c r="V156" s="4"/>
    </row>
    <row r="157" spans="1:22" s="6" customFormat="1" ht="12.75">
      <c r="A157" s="16"/>
      <c r="C157" s="275"/>
      <c r="D157" s="275"/>
      <c r="E157" s="4"/>
      <c r="F157" s="4"/>
      <c r="G157" s="4"/>
      <c r="H157" s="4"/>
      <c r="I157" s="4"/>
      <c r="J157" s="4"/>
      <c r="K157" s="4"/>
      <c r="L157" s="4"/>
      <c r="M157" s="4"/>
      <c r="O157" s="4"/>
      <c r="P157" s="4"/>
      <c r="Q157" s="4"/>
      <c r="R157" s="4"/>
      <c r="S157" s="4"/>
      <c r="T157" s="4"/>
      <c r="U157" s="4"/>
      <c r="V157" s="4"/>
    </row>
    <row r="158" spans="1:22" s="6" customFormat="1" ht="12.75">
      <c r="A158" s="16"/>
      <c r="C158" s="275"/>
      <c r="D158" s="275"/>
      <c r="E158" s="4"/>
      <c r="F158" s="4"/>
      <c r="G158" s="4"/>
      <c r="H158" s="4"/>
      <c r="I158" s="4"/>
      <c r="J158" s="4"/>
      <c r="K158" s="4"/>
      <c r="L158" s="4"/>
      <c r="M158" s="4"/>
      <c r="O158" s="4"/>
      <c r="P158" s="4"/>
      <c r="Q158" s="4"/>
      <c r="R158" s="4"/>
      <c r="S158" s="4"/>
      <c r="T158" s="4"/>
      <c r="U158" s="4"/>
      <c r="V158" s="4"/>
    </row>
    <row r="159" spans="1:22" s="6" customFormat="1" ht="12.75">
      <c r="A159" s="16"/>
      <c r="C159" s="275"/>
      <c r="D159" s="275"/>
      <c r="E159" s="4"/>
      <c r="F159" s="4"/>
      <c r="G159" s="4"/>
      <c r="H159" s="4"/>
      <c r="I159" s="4"/>
      <c r="J159" s="4"/>
      <c r="K159" s="4"/>
      <c r="L159" s="4"/>
      <c r="M159" s="4"/>
      <c r="O159" s="4"/>
      <c r="P159" s="4"/>
      <c r="Q159" s="4"/>
      <c r="R159" s="4"/>
      <c r="S159" s="4"/>
      <c r="T159" s="4"/>
      <c r="U159" s="4"/>
      <c r="V159" s="4"/>
    </row>
    <row r="160" spans="1:22" s="6" customFormat="1" ht="12.75">
      <c r="A160" s="16"/>
      <c r="C160" s="275"/>
      <c r="D160" s="275"/>
      <c r="E160" s="4"/>
      <c r="F160" s="4"/>
      <c r="G160" s="4"/>
      <c r="H160" s="4"/>
      <c r="I160" s="4"/>
      <c r="J160" s="4"/>
      <c r="K160" s="4"/>
      <c r="L160" s="4"/>
      <c r="M160" s="4"/>
      <c r="O160" s="4"/>
      <c r="P160" s="4"/>
      <c r="Q160" s="4"/>
      <c r="R160" s="4"/>
      <c r="S160" s="4"/>
      <c r="T160" s="4"/>
      <c r="U160" s="4"/>
      <c r="V160" s="4"/>
    </row>
    <row r="161" spans="1:22" s="6" customFormat="1" ht="12.75">
      <c r="A161" s="16"/>
      <c r="C161" s="275"/>
      <c r="D161" s="275"/>
      <c r="E161" s="4"/>
      <c r="F161" s="4"/>
      <c r="G161" s="4"/>
      <c r="H161" s="4"/>
      <c r="I161" s="4"/>
      <c r="J161" s="4"/>
      <c r="K161" s="4"/>
      <c r="L161" s="4"/>
      <c r="M161" s="4"/>
      <c r="O161" s="4"/>
      <c r="P161" s="4"/>
      <c r="Q161" s="4"/>
      <c r="R161" s="4"/>
      <c r="S161" s="4"/>
      <c r="T161" s="4"/>
      <c r="U161" s="4"/>
      <c r="V161" s="4"/>
    </row>
    <row r="162" spans="1:22" s="6" customFormat="1" ht="12.75">
      <c r="A162" s="16"/>
      <c r="C162" s="275"/>
      <c r="D162" s="275"/>
      <c r="E162" s="4"/>
      <c r="F162" s="4"/>
      <c r="G162" s="4"/>
      <c r="H162" s="4"/>
      <c r="I162" s="4"/>
      <c r="J162" s="4"/>
      <c r="K162" s="4"/>
      <c r="L162" s="4"/>
      <c r="M162" s="4"/>
      <c r="O162" s="4"/>
      <c r="P162" s="4"/>
      <c r="Q162" s="4"/>
      <c r="R162" s="4"/>
      <c r="S162" s="4"/>
      <c r="T162" s="4"/>
      <c r="U162" s="4"/>
      <c r="V162" s="4"/>
    </row>
    <row r="163" spans="1:22" s="6" customFormat="1" ht="12.75">
      <c r="A163" s="16"/>
      <c r="C163" s="275"/>
      <c r="D163" s="275"/>
      <c r="E163" s="4"/>
      <c r="F163" s="4"/>
      <c r="G163" s="4"/>
      <c r="H163" s="4"/>
      <c r="I163" s="4"/>
      <c r="J163" s="4"/>
      <c r="K163" s="4"/>
      <c r="L163" s="4"/>
      <c r="M163" s="4"/>
      <c r="O163" s="4"/>
      <c r="P163" s="4"/>
      <c r="Q163" s="4"/>
      <c r="R163" s="4"/>
      <c r="S163" s="4"/>
      <c r="T163" s="4"/>
      <c r="U163" s="4"/>
      <c r="V163" s="4"/>
    </row>
    <row r="164" spans="1:22" s="6" customFormat="1" ht="12.75">
      <c r="A164" s="16"/>
      <c r="C164" s="275"/>
      <c r="D164" s="275"/>
      <c r="E164" s="4"/>
      <c r="F164" s="4"/>
      <c r="G164" s="4"/>
      <c r="H164" s="4"/>
      <c r="I164" s="4"/>
      <c r="J164" s="4"/>
      <c r="K164" s="4"/>
      <c r="L164" s="4"/>
      <c r="M164" s="4"/>
      <c r="O164" s="4"/>
      <c r="P164" s="4"/>
      <c r="Q164" s="4"/>
      <c r="R164" s="4"/>
      <c r="S164" s="4"/>
      <c r="T164" s="4"/>
      <c r="U164" s="4"/>
      <c r="V164" s="4"/>
    </row>
    <row r="165" spans="1:22" s="6" customFormat="1" ht="12.75">
      <c r="A165" s="16"/>
      <c r="C165" s="275"/>
      <c r="D165" s="275"/>
      <c r="E165" s="4"/>
      <c r="F165" s="4"/>
      <c r="G165" s="4"/>
      <c r="H165" s="4"/>
      <c r="I165" s="4"/>
      <c r="J165" s="4"/>
      <c r="K165" s="4"/>
      <c r="L165" s="4"/>
      <c r="M165" s="4"/>
      <c r="O165" s="4"/>
      <c r="P165" s="4"/>
      <c r="Q165" s="4"/>
      <c r="R165" s="4"/>
      <c r="S165" s="4"/>
      <c r="T165" s="4"/>
      <c r="U165" s="4"/>
      <c r="V165" s="4"/>
    </row>
    <row r="166" spans="1:22" s="6" customFormat="1" ht="12.75">
      <c r="A166" s="16"/>
      <c r="C166" s="275"/>
      <c r="D166" s="275"/>
      <c r="E166" s="4"/>
      <c r="F166" s="4"/>
      <c r="G166" s="4"/>
      <c r="H166" s="4"/>
      <c r="I166" s="4"/>
      <c r="J166" s="4"/>
      <c r="K166" s="4"/>
      <c r="L166" s="4"/>
      <c r="M166" s="4"/>
      <c r="O166" s="4"/>
      <c r="P166" s="4"/>
      <c r="Q166" s="4"/>
      <c r="R166" s="4"/>
      <c r="S166" s="4"/>
      <c r="T166" s="4"/>
      <c r="U166" s="4"/>
      <c r="V166" s="4"/>
    </row>
    <row r="167" spans="1:22" s="6" customFormat="1" ht="12.75">
      <c r="A167" s="16"/>
      <c r="C167" s="275"/>
      <c r="D167" s="275"/>
      <c r="E167" s="4"/>
      <c r="F167" s="4"/>
      <c r="G167" s="4"/>
      <c r="H167" s="4"/>
      <c r="I167" s="4"/>
      <c r="J167" s="4"/>
      <c r="K167" s="4"/>
      <c r="L167" s="4"/>
      <c r="M167" s="4"/>
      <c r="O167" s="4"/>
      <c r="P167" s="4"/>
      <c r="Q167" s="4"/>
      <c r="R167" s="4"/>
      <c r="S167" s="4"/>
      <c r="T167" s="4"/>
      <c r="U167" s="4"/>
      <c r="V167" s="4"/>
    </row>
    <row r="168" spans="1:22" s="6" customFormat="1" ht="12.75">
      <c r="A168" s="16"/>
      <c r="C168" s="275"/>
      <c r="D168" s="275"/>
      <c r="E168" s="4"/>
      <c r="F168" s="4"/>
      <c r="G168" s="4"/>
      <c r="H168" s="4"/>
      <c r="I168" s="4"/>
      <c r="J168" s="4"/>
      <c r="K168" s="4"/>
      <c r="L168" s="4"/>
      <c r="M168" s="4"/>
      <c r="O168" s="4"/>
      <c r="P168" s="4"/>
      <c r="Q168" s="4"/>
      <c r="R168" s="4"/>
      <c r="S168" s="4"/>
      <c r="T168" s="4"/>
      <c r="U168" s="4"/>
      <c r="V168" s="4"/>
    </row>
    <row r="169" spans="1:22" s="6" customFormat="1" ht="12.75">
      <c r="A169" s="16"/>
      <c r="C169" s="275"/>
      <c r="D169" s="275"/>
      <c r="E169" s="4"/>
      <c r="F169" s="4"/>
      <c r="G169" s="4"/>
      <c r="H169" s="4"/>
      <c r="I169" s="4"/>
      <c r="J169" s="4"/>
      <c r="K169" s="4"/>
      <c r="L169" s="4"/>
      <c r="M169" s="4"/>
      <c r="O169" s="4"/>
      <c r="P169" s="4"/>
      <c r="Q169" s="4"/>
      <c r="R169" s="4"/>
      <c r="S169" s="4"/>
      <c r="T169" s="4"/>
      <c r="U169" s="4"/>
      <c r="V169" s="4"/>
    </row>
    <row r="170" spans="1:22" s="6" customFormat="1" ht="12.75">
      <c r="A170" s="16"/>
      <c r="C170" s="275"/>
      <c r="D170" s="275"/>
      <c r="E170" s="4"/>
      <c r="F170" s="4"/>
      <c r="G170" s="4"/>
      <c r="H170" s="4"/>
      <c r="I170" s="4"/>
      <c r="J170" s="4"/>
      <c r="K170" s="4"/>
      <c r="L170" s="4"/>
      <c r="M170" s="4"/>
      <c r="O170" s="4"/>
      <c r="P170" s="4"/>
      <c r="Q170" s="4"/>
      <c r="R170" s="4"/>
      <c r="S170" s="4"/>
      <c r="T170" s="4"/>
      <c r="U170" s="4"/>
      <c r="V170" s="4"/>
    </row>
    <row r="171" spans="1:22" s="6" customFormat="1" ht="12.75">
      <c r="A171" s="16"/>
      <c r="C171" s="275"/>
      <c r="D171" s="275"/>
      <c r="E171" s="4"/>
      <c r="F171" s="4"/>
      <c r="G171" s="4"/>
      <c r="H171" s="4"/>
      <c r="I171" s="4"/>
      <c r="J171" s="4"/>
      <c r="K171" s="4"/>
      <c r="L171" s="4"/>
      <c r="M171" s="4"/>
      <c r="O171" s="4"/>
      <c r="P171" s="4"/>
      <c r="Q171" s="4"/>
      <c r="R171" s="4"/>
      <c r="S171" s="4"/>
      <c r="T171" s="4"/>
      <c r="U171" s="4"/>
      <c r="V171" s="4"/>
    </row>
    <row r="172" spans="1:22" s="6" customFormat="1" ht="12.75">
      <c r="A172" s="16"/>
      <c r="C172" s="275"/>
      <c r="D172" s="275"/>
      <c r="E172" s="4"/>
      <c r="F172" s="4"/>
      <c r="G172" s="4"/>
      <c r="H172" s="4"/>
      <c r="I172" s="4"/>
      <c r="J172" s="4"/>
      <c r="K172" s="4"/>
      <c r="L172" s="4"/>
      <c r="M172" s="4"/>
      <c r="O172" s="4"/>
      <c r="P172" s="4"/>
      <c r="Q172" s="4"/>
      <c r="R172" s="4"/>
      <c r="S172" s="4"/>
      <c r="T172" s="4"/>
      <c r="U172" s="4"/>
      <c r="V172" s="4"/>
    </row>
    <row r="173" spans="1:22" s="6" customFormat="1" ht="12.75">
      <c r="A173" s="16"/>
      <c r="C173" s="275"/>
      <c r="D173" s="275"/>
      <c r="E173" s="4"/>
      <c r="F173" s="4"/>
      <c r="G173" s="4"/>
      <c r="H173" s="4"/>
      <c r="I173" s="4"/>
      <c r="J173" s="4"/>
      <c r="K173" s="4"/>
      <c r="L173" s="4"/>
      <c r="M173" s="4"/>
      <c r="O173" s="4"/>
      <c r="P173" s="4"/>
      <c r="Q173" s="4"/>
      <c r="R173" s="4"/>
      <c r="S173" s="4"/>
      <c r="T173" s="4"/>
      <c r="U173" s="4"/>
      <c r="V173" s="4"/>
    </row>
    <row r="174" spans="1:22" s="6" customFormat="1" ht="12.75">
      <c r="A174" s="16"/>
      <c r="C174" s="275"/>
      <c r="D174" s="275"/>
      <c r="E174" s="4"/>
      <c r="F174" s="4"/>
      <c r="G174" s="4"/>
      <c r="H174" s="4"/>
      <c r="I174" s="4"/>
      <c r="J174" s="4"/>
      <c r="K174" s="4"/>
      <c r="L174" s="4"/>
      <c r="M174" s="4"/>
      <c r="O174" s="4"/>
      <c r="P174" s="4"/>
      <c r="Q174" s="4"/>
      <c r="R174" s="4"/>
      <c r="S174" s="4"/>
      <c r="T174" s="4"/>
      <c r="U174" s="4"/>
      <c r="V174" s="4"/>
    </row>
    <row r="175" spans="1:22" s="6" customFormat="1" ht="12.75">
      <c r="A175" s="16"/>
      <c r="C175" s="275"/>
      <c r="D175" s="275"/>
      <c r="E175" s="4"/>
      <c r="F175" s="4"/>
      <c r="G175" s="4"/>
      <c r="H175" s="4"/>
      <c r="I175" s="4"/>
      <c r="J175" s="4"/>
      <c r="K175" s="4"/>
      <c r="L175" s="4"/>
      <c r="M175" s="4"/>
      <c r="O175" s="4"/>
      <c r="P175" s="4"/>
      <c r="Q175" s="4"/>
      <c r="R175" s="4"/>
      <c r="S175" s="4"/>
      <c r="T175" s="4"/>
      <c r="U175" s="4"/>
      <c r="V175" s="4"/>
    </row>
    <row r="176" spans="1:22" s="6" customFormat="1" ht="12.75">
      <c r="A176" s="16"/>
      <c r="C176" s="275"/>
      <c r="D176" s="275"/>
      <c r="E176" s="4"/>
      <c r="F176" s="4"/>
      <c r="G176" s="4"/>
      <c r="H176" s="4"/>
      <c r="I176" s="4"/>
      <c r="J176" s="4"/>
      <c r="K176" s="4"/>
      <c r="L176" s="4"/>
      <c r="M176" s="4"/>
      <c r="O176" s="4"/>
      <c r="P176" s="4"/>
      <c r="Q176" s="4"/>
      <c r="R176" s="4"/>
      <c r="S176" s="4"/>
      <c r="T176" s="4"/>
      <c r="U176" s="4"/>
      <c r="V176" s="4"/>
    </row>
    <row r="177" spans="1:22" s="6" customFormat="1" ht="12.75">
      <c r="A177" s="16"/>
      <c r="C177" s="275"/>
      <c r="D177" s="275"/>
      <c r="E177" s="4"/>
      <c r="F177" s="4"/>
      <c r="G177" s="4"/>
      <c r="H177" s="4"/>
      <c r="I177" s="4"/>
      <c r="J177" s="4"/>
      <c r="K177" s="4"/>
      <c r="L177" s="4"/>
      <c r="M177" s="4"/>
      <c r="O177" s="4"/>
      <c r="P177" s="4"/>
      <c r="Q177" s="4"/>
      <c r="R177" s="4"/>
      <c r="S177" s="4"/>
      <c r="T177" s="4"/>
      <c r="U177" s="4"/>
      <c r="V177" s="4"/>
    </row>
    <row r="178" spans="1:22" s="6" customFormat="1" ht="12.75">
      <c r="A178" s="16"/>
      <c r="C178" s="275"/>
      <c r="D178" s="275"/>
      <c r="E178" s="4"/>
      <c r="F178" s="4"/>
      <c r="G178" s="4"/>
      <c r="H178" s="4"/>
      <c r="I178" s="4"/>
      <c r="J178" s="4"/>
      <c r="K178" s="4"/>
      <c r="L178" s="4"/>
      <c r="M178" s="4"/>
      <c r="O178" s="4"/>
      <c r="P178" s="4"/>
      <c r="Q178" s="4"/>
      <c r="R178" s="4"/>
      <c r="S178" s="4"/>
      <c r="T178" s="4"/>
      <c r="U178" s="4"/>
      <c r="V178" s="4"/>
    </row>
    <row r="179" spans="1:22" s="6" customFormat="1" ht="12.75">
      <c r="A179" s="16"/>
      <c r="C179" s="275"/>
      <c r="D179" s="275"/>
      <c r="E179" s="4"/>
      <c r="F179" s="4"/>
      <c r="G179" s="4"/>
      <c r="H179" s="4"/>
      <c r="I179" s="4"/>
      <c r="J179" s="4"/>
      <c r="K179" s="4"/>
      <c r="L179" s="4"/>
      <c r="M179" s="4"/>
      <c r="O179" s="4"/>
      <c r="P179" s="4"/>
      <c r="Q179" s="4"/>
      <c r="R179" s="4"/>
      <c r="S179" s="4"/>
      <c r="T179" s="4"/>
      <c r="U179" s="4"/>
      <c r="V179" s="4"/>
    </row>
    <row r="180" spans="1:22" s="6" customFormat="1" ht="12.75">
      <c r="A180" s="16"/>
      <c r="C180" s="275"/>
      <c r="D180" s="275"/>
      <c r="E180" s="4"/>
      <c r="F180" s="4"/>
      <c r="G180" s="4"/>
      <c r="H180" s="4"/>
      <c r="I180" s="4"/>
      <c r="J180" s="4"/>
      <c r="K180" s="4"/>
      <c r="L180" s="4"/>
      <c r="M180" s="4"/>
      <c r="O180" s="4"/>
      <c r="P180" s="4"/>
      <c r="Q180" s="4"/>
      <c r="R180" s="4"/>
      <c r="S180" s="4"/>
      <c r="T180" s="4"/>
      <c r="U180" s="4"/>
      <c r="V180" s="4"/>
    </row>
    <row r="181" spans="1:22" s="6" customFormat="1" ht="12.75">
      <c r="A181" s="16"/>
      <c r="C181" s="275"/>
      <c r="D181" s="275"/>
      <c r="E181" s="4"/>
      <c r="F181" s="4"/>
      <c r="G181" s="4"/>
      <c r="H181" s="4"/>
      <c r="I181" s="4"/>
      <c r="J181" s="4"/>
      <c r="K181" s="4"/>
      <c r="L181" s="4"/>
      <c r="M181" s="4"/>
      <c r="O181" s="4"/>
      <c r="P181" s="4"/>
      <c r="Q181" s="4"/>
      <c r="R181" s="4"/>
      <c r="S181" s="4"/>
      <c r="T181" s="4"/>
      <c r="U181" s="4"/>
      <c r="V181" s="4"/>
    </row>
    <row r="182" spans="1:22" s="6" customFormat="1" ht="12.75">
      <c r="A182" s="16"/>
      <c r="C182" s="275"/>
      <c r="D182" s="275"/>
      <c r="E182" s="4"/>
      <c r="F182" s="4"/>
      <c r="G182" s="4"/>
      <c r="H182" s="4"/>
      <c r="I182" s="4"/>
      <c r="J182" s="4"/>
      <c r="K182" s="4"/>
      <c r="L182" s="4"/>
      <c r="M182" s="4"/>
      <c r="O182" s="4"/>
      <c r="P182" s="4"/>
      <c r="Q182" s="4"/>
      <c r="R182" s="4"/>
      <c r="S182" s="4"/>
      <c r="T182" s="4"/>
      <c r="U182" s="4"/>
      <c r="V182" s="4"/>
    </row>
    <row r="183" spans="1:22" s="6" customFormat="1" ht="12.75">
      <c r="A183" s="16"/>
      <c r="C183" s="275"/>
      <c r="D183" s="275"/>
      <c r="E183" s="4"/>
      <c r="F183" s="4"/>
      <c r="G183" s="4"/>
      <c r="H183" s="4"/>
      <c r="I183" s="4"/>
      <c r="J183" s="4"/>
      <c r="K183" s="4"/>
      <c r="L183" s="4"/>
      <c r="M183" s="4"/>
      <c r="O183" s="4"/>
      <c r="P183" s="4"/>
      <c r="Q183" s="4"/>
      <c r="R183" s="4"/>
      <c r="S183" s="4"/>
      <c r="T183" s="4"/>
      <c r="U183" s="4"/>
      <c r="V183" s="4"/>
    </row>
    <row r="184" spans="1:22" s="6" customFormat="1" ht="12.75">
      <c r="A184" s="16"/>
      <c r="C184" s="275"/>
      <c r="D184" s="275"/>
      <c r="E184" s="4"/>
      <c r="F184" s="4"/>
      <c r="G184" s="4"/>
      <c r="H184" s="4"/>
      <c r="I184" s="4"/>
      <c r="J184" s="4"/>
      <c r="K184" s="4"/>
      <c r="L184" s="4"/>
      <c r="M184" s="4"/>
      <c r="O184" s="4"/>
      <c r="P184" s="4"/>
      <c r="Q184" s="4"/>
      <c r="R184" s="4"/>
      <c r="S184" s="4"/>
      <c r="T184" s="4"/>
      <c r="U184" s="4"/>
      <c r="V184" s="4"/>
    </row>
    <row r="185" spans="1:22" s="6" customFormat="1" ht="12.75">
      <c r="A185" s="16"/>
      <c r="C185" s="275"/>
      <c r="D185" s="275"/>
      <c r="E185" s="4"/>
      <c r="F185" s="4"/>
      <c r="G185" s="4"/>
      <c r="H185" s="4"/>
      <c r="I185" s="4"/>
      <c r="J185" s="4"/>
      <c r="K185" s="4"/>
      <c r="L185" s="4"/>
      <c r="M185" s="4"/>
      <c r="O185" s="4"/>
      <c r="P185" s="4"/>
      <c r="Q185" s="4"/>
      <c r="R185" s="4"/>
      <c r="S185" s="4"/>
      <c r="T185" s="4"/>
      <c r="U185" s="4"/>
      <c r="V185" s="4"/>
    </row>
    <row r="186" spans="1:22" s="6" customFormat="1" ht="12.75">
      <c r="A186" s="16"/>
      <c r="C186" s="275"/>
      <c r="D186" s="275"/>
      <c r="E186" s="4"/>
      <c r="F186" s="4"/>
      <c r="G186" s="4"/>
      <c r="H186" s="4"/>
      <c r="I186" s="4"/>
      <c r="J186" s="4"/>
      <c r="K186" s="4"/>
      <c r="L186" s="4"/>
      <c r="M186" s="4"/>
      <c r="O186" s="4"/>
      <c r="P186" s="4"/>
      <c r="Q186" s="4"/>
      <c r="R186" s="4"/>
      <c r="S186" s="4"/>
      <c r="T186" s="4"/>
      <c r="U186" s="4"/>
      <c r="V186" s="4"/>
    </row>
    <row r="187" spans="1:22" s="6" customFormat="1" ht="12.75">
      <c r="A187" s="16"/>
      <c r="C187" s="275"/>
      <c r="D187" s="275"/>
      <c r="E187" s="4"/>
      <c r="F187" s="4"/>
      <c r="G187" s="4"/>
      <c r="H187" s="4"/>
      <c r="I187" s="4"/>
      <c r="J187" s="4"/>
      <c r="K187" s="4"/>
      <c r="L187" s="4"/>
      <c r="M187" s="4"/>
      <c r="O187" s="4"/>
      <c r="P187" s="4"/>
      <c r="Q187" s="4"/>
      <c r="R187" s="4"/>
      <c r="S187" s="4"/>
      <c r="T187" s="4"/>
      <c r="U187" s="4"/>
      <c r="V187" s="4"/>
    </row>
    <row r="188" spans="1:22" s="6" customFormat="1" ht="12.75">
      <c r="A188" s="16"/>
      <c r="C188" s="275"/>
      <c r="D188" s="275"/>
      <c r="E188" s="4"/>
      <c r="F188" s="4"/>
      <c r="G188" s="4"/>
      <c r="H188" s="4"/>
      <c r="I188" s="4"/>
      <c r="J188" s="4"/>
      <c r="K188" s="4"/>
      <c r="L188" s="4"/>
      <c r="M188" s="4"/>
      <c r="O188" s="4"/>
      <c r="P188" s="4"/>
      <c r="Q188" s="4"/>
      <c r="R188" s="4"/>
      <c r="S188" s="4"/>
      <c r="T188" s="4"/>
      <c r="U188" s="4"/>
      <c r="V188" s="4"/>
    </row>
    <row r="189" spans="1:22" s="6" customFormat="1" ht="12.75">
      <c r="A189" s="16"/>
      <c r="C189" s="275"/>
      <c r="D189" s="275"/>
      <c r="E189" s="4"/>
      <c r="F189" s="4"/>
      <c r="G189" s="4"/>
      <c r="H189" s="4"/>
      <c r="I189" s="4"/>
      <c r="J189" s="4"/>
      <c r="K189" s="4"/>
      <c r="L189" s="4"/>
      <c r="M189" s="4"/>
      <c r="O189" s="4"/>
      <c r="P189" s="4"/>
      <c r="Q189" s="4"/>
      <c r="R189" s="4"/>
      <c r="S189" s="4"/>
      <c r="T189" s="4"/>
      <c r="U189" s="4"/>
      <c r="V189" s="4"/>
    </row>
    <row r="190" spans="1:22" s="6" customFormat="1" ht="12.75">
      <c r="A190" s="16"/>
      <c r="C190" s="275"/>
      <c r="D190" s="275"/>
      <c r="E190" s="4"/>
      <c r="F190" s="4"/>
      <c r="G190" s="4"/>
      <c r="H190" s="4"/>
      <c r="I190" s="4"/>
      <c r="J190" s="4"/>
      <c r="K190" s="4"/>
      <c r="L190" s="4"/>
      <c r="M190" s="4"/>
      <c r="O190" s="4"/>
      <c r="P190" s="4"/>
      <c r="Q190" s="4"/>
      <c r="R190" s="4"/>
      <c r="S190" s="4"/>
      <c r="T190" s="4"/>
      <c r="U190" s="4"/>
      <c r="V190" s="4"/>
    </row>
    <row r="191" spans="1:22" s="6" customFormat="1" ht="12.75">
      <c r="A191" s="16"/>
      <c r="C191" s="275"/>
      <c r="D191" s="275"/>
      <c r="E191" s="4"/>
      <c r="F191" s="4"/>
      <c r="G191" s="4"/>
      <c r="H191" s="4"/>
      <c r="I191" s="4"/>
      <c r="J191" s="4"/>
      <c r="K191" s="4"/>
      <c r="L191" s="4"/>
      <c r="M191" s="4"/>
      <c r="O191" s="4"/>
      <c r="P191" s="4"/>
      <c r="Q191" s="4"/>
      <c r="R191" s="4"/>
      <c r="S191" s="4"/>
      <c r="T191" s="4"/>
      <c r="U191" s="4"/>
      <c r="V191" s="4"/>
    </row>
    <row r="192" spans="1:22" s="6" customFormat="1" ht="12.75">
      <c r="A192" s="16"/>
      <c r="C192" s="275"/>
      <c r="D192" s="275"/>
      <c r="E192" s="4"/>
      <c r="F192" s="4"/>
      <c r="G192" s="4"/>
      <c r="H192" s="4"/>
      <c r="I192" s="4"/>
      <c r="J192" s="4"/>
      <c r="K192" s="4"/>
      <c r="L192" s="4"/>
      <c r="M192" s="4"/>
      <c r="O192" s="4"/>
      <c r="P192" s="4"/>
      <c r="Q192" s="4"/>
      <c r="R192" s="4"/>
      <c r="S192" s="4"/>
      <c r="T192" s="4"/>
      <c r="U192" s="4"/>
      <c r="V192" s="4"/>
    </row>
    <row r="193" spans="1:22" s="6" customFormat="1" ht="12.75">
      <c r="A193" s="16"/>
      <c r="C193" s="275"/>
      <c r="D193" s="275"/>
      <c r="E193" s="4"/>
      <c r="F193" s="4"/>
      <c r="G193" s="4"/>
      <c r="H193" s="4"/>
      <c r="I193" s="4"/>
      <c r="J193" s="4"/>
      <c r="K193" s="4"/>
      <c r="L193" s="4"/>
      <c r="M193" s="4"/>
      <c r="O193" s="4"/>
      <c r="P193" s="4"/>
      <c r="Q193" s="4"/>
      <c r="R193" s="4"/>
      <c r="S193" s="4"/>
      <c r="T193" s="4"/>
      <c r="U193" s="4"/>
      <c r="V193" s="4"/>
    </row>
    <row r="194" spans="1:22" s="6" customFormat="1" ht="12.75">
      <c r="A194" s="16"/>
      <c r="C194" s="275"/>
      <c r="D194" s="275"/>
      <c r="E194" s="4"/>
      <c r="F194" s="4"/>
      <c r="G194" s="4"/>
      <c r="H194" s="4"/>
      <c r="I194" s="4"/>
      <c r="J194" s="4"/>
      <c r="K194" s="4"/>
      <c r="L194" s="4"/>
      <c r="M194" s="4"/>
      <c r="O194" s="4"/>
      <c r="P194" s="4"/>
      <c r="Q194" s="4"/>
      <c r="R194" s="4"/>
      <c r="S194" s="4"/>
      <c r="T194" s="4"/>
      <c r="U194" s="4"/>
      <c r="V194" s="4"/>
    </row>
    <row r="195" spans="1:22" s="6" customFormat="1" ht="12.75">
      <c r="A195" s="16"/>
      <c r="C195" s="275"/>
      <c r="D195" s="275"/>
      <c r="E195" s="4"/>
      <c r="F195" s="4"/>
      <c r="G195" s="4"/>
      <c r="H195" s="4"/>
      <c r="I195" s="4"/>
      <c r="J195" s="4"/>
      <c r="K195" s="4"/>
      <c r="L195" s="4"/>
      <c r="M195" s="4"/>
      <c r="O195" s="4"/>
      <c r="P195" s="4"/>
      <c r="Q195" s="4"/>
      <c r="R195" s="4"/>
      <c r="S195" s="4"/>
      <c r="T195" s="4"/>
      <c r="U195" s="4"/>
      <c r="V195" s="4"/>
    </row>
    <row r="196" spans="1:22" s="6" customFormat="1" ht="12.75">
      <c r="A196" s="16"/>
      <c r="C196" s="275"/>
      <c r="D196" s="275"/>
      <c r="E196" s="4"/>
      <c r="F196" s="4"/>
      <c r="G196" s="4"/>
      <c r="H196" s="4"/>
      <c r="I196" s="4"/>
      <c r="J196" s="4"/>
      <c r="K196" s="4"/>
      <c r="L196" s="4"/>
      <c r="M196" s="4"/>
      <c r="O196" s="4"/>
      <c r="P196" s="4"/>
      <c r="Q196" s="4"/>
      <c r="R196" s="4"/>
      <c r="S196" s="4"/>
      <c r="T196" s="4"/>
      <c r="U196" s="4"/>
      <c r="V196" s="4"/>
    </row>
    <row r="197" spans="1:22" s="6" customFormat="1" ht="12.75">
      <c r="A197" s="16"/>
      <c r="C197" s="275"/>
      <c r="D197" s="275"/>
      <c r="E197" s="4"/>
      <c r="F197" s="4"/>
      <c r="G197" s="4"/>
      <c r="H197" s="4"/>
      <c r="I197" s="4"/>
      <c r="J197" s="4"/>
      <c r="K197" s="4"/>
      <c r="L197" s="4"/>
      <c r="M197" s="4"/>
      <c r="O197" s="4"/>
      <c r="P197" s="4"/>
      <c r="Q197" s="4"/>
      <c r="R197" s="4"/>
      <c r="S197" s="4"/>
      <c r="T197" s="4"/>
      <c r="U197" s="4"/>
      <c r="V197" s="4"/>
    </row>
    <row r="198" spans="1:22" s="6" customFormat="1" ht="12.75">
      <c r="A198" s="16"/>
      <c r="C198" s="275"/>
      <c r="D198" s="275"/>
      <c r="E198" s="4"/>
      <c r="F198" s="4"/>
      <c r="G198" s="4"/>
      <c r="H198" s="4"/>
      <c r="I198" s="4"/>
      <c r="J198" s="4"/>
      <c r="K198" s="4"/>
      <c r="L198" s="4"/>
      <c r="M198" s="4"/>
      <c r="O198" s="4"/>
      <c r="P198" s="4"/>
      <c r="Q198" s="4"/>
      <c r="R198" s="4"/>
      <c r="S198" s="4"/>
      <c r="T198" s="4"/>
      <c r="U198" s="4"/>
      <c r="V198" s="4"/>
    </row>
    <row r="199" spans="1:22" s="6" customFormat="1" ht="12.75">
      <c r="A199" s="16"/>
      <c r="C199" s="275"/>
      <c r="D199" s="275"/>
      <c r="E199" s="4"/>
      <c r="F199" s="4"/>
      <c r="G199" s="4"/>
      <c r="H199" s="4"/>
      <c r="I199" s="4"/>
      <c r="J199" s="4"/>
      <c r="K199" s="4"/>
      <c r="L199" s="4"/>
      <c r="M199" s="4"/>
      <c r="O199" s="4"/>
      <c r="P199" s="4"/>
      <c r="Q199" s="4"/>
      <c r="R199" s="4"/>
      <c r="S199" s="4"/>
      <c r="T199" s="4"/>
      <c r="U199" s="4"/>
      <c r="V199" s="4"/>
    </row>
    <row r="200" spans="1:22" s="6" customFormat="1" ht="12.75">
      <c r="A200" s="16"/>
      <c r="C200" s="275"/>
      <c r="D200" s="275"/>
      <c r="E200" s="4"/>
      <c r="F200" s="4"/>
      <c r="G200" s="4"/>
      <c r="H200" s="4"/>
      <c r="I200" s="4"/>
      <c r="J200" s="4"/>
      <c r="K200" s="4"/>
      <c r="L200" s="4"/>
      <c r="M200" s="4"/>
      <c r="O200" s="4"/>
      <c r="P200" s="4"/>
      <c r="Q200" s="4"/>
      <c r="R200" s="4"/>
      <c r="S200" s="4"/>
      <c r="T200" s="4"/>
      <c r="U200" s="4"/>
      <c r="V200" s="4"/>
    </row>
    <row r="201" spans="1:22" s="6" customFormat="1" ht="12.75">
      <c r="A201" s="16"/>
      <c r="C201" s="275"/>
      <c r="D201" s="275"/>
      <c r="E201" s="4"/>
      <c r="F201" s="4"/>
      <c r="G201" s="4"/>
      <c r="H201" s="4"/>
      <c r="I201" s="4"/>
      <c r="J201" s="4"/>
      <c r="K201" s="4"/>
      <c r="L201" s="4"/>
      <c r="M201" s="4"/>
      <c r="O201" s="4"/>
      <c r="P201" s="4"/>
      <c r="Q201" s="4"/>
      <c r="R201" s="4"/>
      <c r="S201" s="4"/>
      <c r="T201" s="4"/>
      <c r="U201" s="4"/>
      <c r="V201" s="4"/>
    </row>
    <row r="202" spans="1:22" s="6" customFormat="1" ht="12.75">
      <c r="A202" s="16"/>
      <c r="C202" s="275"/>
      <c r="D202" s="275"/>
      <c r="E202" s="4"/>
      <c r="F202" s="4"/>
      <c r="G202" s="4"/>
      <c r="H202" s="4"/>
      <c r="I202" s="4"/>
      <c r="J202" s="4"/>
      <c r="K202" s="4"/>
      <c r="L202" s="4"/>
      <c r="M202" s="4"/>
      <c r="O202" s="4"/>
      <c r="P202" s="4"/>
      <c r="Q202" s="4"/>
      <c r="R202" s="4"/>
      <c r="S202" s="4"/>
      <c r="T202" s="4"/>
      <c r="U202" s="4"/>
      <c r="V202" s="4"/>
    </row>
    <row r="203" spans="1:22" s="6" customFormat="1" ht="12.75">
      <c r="A203" s="16"/>
      <c r="C203" s="275"/>
      <c r="D203" s="275"/>
      <c r="E203" s="4"/>
      <c r="F203" s="4"/>
      <c r="G203" s="4"/>
      <c r="H203" s="4"/>
      <c r="I203" s="4"/>
      <c r="J203" s="4"/>
      <c r="K203" s="4"/>
      <c r="L203" s="4"/>
      <c r="M203" s="4"/>
      <c r="O203" s="4"/>
      <c r="P203" s="4"/>
      <c r="Q203" s="4"/>
      <c r="R203" s="4"/>
      <c r="S203" s="4"/>
      <c r="T203" s="4"/>
      <c r="U203" s="4"/>
      <c r="V203" s="4"/>
    </row>
    <row r="204" spans="1:22" s="6" customFormat="1" ht="12.75">
      <c r="A204" s="16"/>
      <c r="C204" s="275"/>
      <c r="D204" s="275"/>
      <c r="E204" s="4"/>
      <c r="F204" s="4"/>
      <c r="G204" s="4"/>
      <c r="H204" s="4"/>
      <c r="I204" s="4"/>
      <c r="J204" s="4"/>
      <c r="K204" s="4"/>
      <c r="L204" s="4"/>
      <c r="M204" s="4"/>
      <c r="O204" s="4"/>
      <c r="P204" s="4"/>
      <c r="Q204" s="4"/>
      <c r="R204" s="4"/>
      <c r="S204" s="4"/>
      <c r="T204" s="4"/>
      <c r="U204" s="4"/>
      <c r="V204" s="4"/>
    </row>
    <row r="205" spans="1:22" s="6" customFormat="1" ht="12.75">
      <c r="A205" s="16"/>
      <c r="C205" s="275"/>
      <c r="D205" s="275"/>
      <c r="E205" s="4"/>
      <c r="F205" s="4"/>
      <c r="G205" s="4"/>
      <c r="H205" s="4"/>
      <c r="I205" s="4"/>
      <c r="J205" s="4"/>
      <c r="K205" s="4"/>
      <c r="L205" s="4"/>
      <c r="M205" s="4"/>
      <c r="O205" s="4"/>
      <c r="P205" s="4"/>
      <c r="Q205" s="4"/>
      <c r="R205" s="4"/>
      <c r="S205" s="4"/>
      <c r="T205" s="4"/>
      <c r="U205" s="4"/>
      <c r="V205" s="4"/>
    </row>
    <row r="206" spans="1:22" s="6" customFormat="1" ht="12.75">
      <c r="A206" s="16"/>
      <c r="C206" s="275"/>
      <c r="D206" s="275"/>
      <c r="E206" s="4"/>
      <c r="F206" s="4"/>
      <c r="G206" s="4"/>
      <c r="H206" s="4"/>
      <c r="I206" s="4"/>
      <c r="J206" s="4"/>
      <c r="K206" s="4"/>
      <c r="L206" s="4"/>
      <c r="M206" s="4"/>
      <c r="O206" s="4"/>
      <c r="P206" s="4"/>
      <c r="Q206" s="4"/>
      <c r="R206" s="4"/>
      <c r="S206" s="4"/>
      <c r="T206" s="4"/>
      <c r="U206" s="4"/>
      <c r="V206" s="4"/>
    </row>
    <row r="207" spans="1:22" s="6" customFormat="1" ht="12.75">
      <c r="A207" s="16"/>
      <c r="C207" s="275"/>
      <c r="D207" s="275"/>
      <c r="E207" s="4"/>
      <c r="F207" s="4"/>
      <c r="G207" s="4"/>
      <c r="H207" s="4"/>
      <c r="I207" s="4"/>
      <c r="J207" s="4"/>
      <c r="K207" s="4"/>
      <c r="L207" s="4"/>
      <c r="M207" s="4"/>
      <c r="O207" s="4"/>
      <c r="P207" s="4"/>
      <c r="Q207" s="4"/>
      <c r="R207" s="4"/>
      <c r="S207" s="4"/>
      <c r="T207" s="4"/>
      <c r="U207" s="4"/>
      <c r="V207" s="4"/>
    </row>
    <row r="208" spans="1:22" s="6" customFormat="1" ht="12.75">
      <c r="A208" s="16"/>
      <c r="C208" s="275"/>
      <c r="D208" s="275"/>
      <c r="E208" s="4"/>
      <c r="F208" s="4"/>
      <c r="G208" s="4"/>
      <c r="H208" s="4"/>
      <c r="I208" s="4"/>
      <c r="J208" s="4"/>
      <c r="K208" s="4"/>
      <c r="L208" s="4"/>
      <c r="M208" s="4"/>
      <c r="O208" s="4"/>
      <c r="P208" s="4"/>
      <c r="Q208" s="4"/>
      <c r="R208" s="4"/>
      <c r="S208" s="4"/>
      <c r="T208" s="4"/>
      <c r="U208" s="4"/>
      <c r="V208" s="4"/>
    </row>
    <row r="209" spans="1:22" s="6" customFormat="1" ht="12.75">
      <c r="A209" s="16"/>
      <c r="C209" s="275"/>
      <c r="D209" s="275"/>
      <c r="E209" s="4"/>
      <c r="F209" s="4"/>
      <c r="G209" s="4"/>
      <c r="H209" s="4"/>
      <c r="I209" s="4"/>
      <c r="J209" s="4"/>
      <c r="K209" s="4"/>
      <c r="L209" s="4"/>
      <c r="M209" s="4"/>
      <c r="O209" s="4"/>
      <c r="P209" s="4"/>
      <c r="Q209" s="4"/>
      <c r="R209" s="4"/>
      <c r="S209" s="4"/>
      <c r="T209" s="4"/>
      <c r="U209" s="4"/>
      <c r="V209" s="4"/>
    </row>
    <row r="210" spans="1:22" s="6" customFormat="1" ht="12.75">
      <c r="A210" s="16"/>
      <c r="C210" s="275"/>
      <c r="D210" s="275"/>
      <c r="E210" s="4"/>
      <c r="F210" s="4"/>
      <c r="G210" s="4"/>
      <c r="H210" s="4"/>
      <c r="I210" s="4"/>
      <c r="J210" s="4"/>
      <c r="K210" s="4"/>
      <c r="L210" s="4"/>
      <c r="M210" s="4"/>
      <c r="O210" s="4"/>
      <c r="P210" s="4"/>
      <c r="Q210" s="4"/>
      <c r="R210" s="4"/>
      <c r="S210" s="4"/>
      <c r="T210" s="4"/>
      <c r="U210" s="4"/>
      <c r="V210" s="4"/>
    </row>
    <row r="211" spans="1:22" s="6" customFormat="1" ht="12.75">
      <c r="A211" s="16"/>
      <c r="C211" s="275"/>
      <c r="D211" s="275"/>
      <c r="E211" s="4"/>
      <c r="F211" s="4"/>
      <c r="G211" s="4"/>
      <c r="H211" s="4"/>
      <c r="I211" s="4"/>
      <c r="J211" s="4"/>
      <c r="K211" s="4"/>
      <c r="L211" s="4"/>
      <c r="M211" s="4"/>
      <c r="O211" s="4"/>
      <c r="P211" s="4"/>
      <c r="Q211" s="4"/>
      <c r="R211" s="4"/>
      <c r="S211" s="4"/>
      <c r="T211" s="4"/>
      <c r="U211" s="4"/>
      <c r="V211" s="4"/>
    </row>
    <row r="212" spans="1:22" s="6" customFormat="1" ht="12.75">
      <c r="A212" s="16"/>
      <c r="C212" s="275"/>
      <c r="D212" s="275"/>
      <c r="E212" s="4"/>
      <c r="F212" s="4"/>
      <c r="G212" s="4"/>
      <c r="H212" s="4"/>
      <c r="I212" s="4"/>
      <c r="J212" s="4"/>
      <c r="K212" s="4"/>
      <c r="L212" s="4"/>
      <c r="M212" s="4"/>
      <c r="O212" s="4"/>
      <c r="P212" s="4"/>
      <c r="Q212" s="4"/>
      <c r="R212" s="4"/>
      <c r="S212" s="4"/>
      <c r="T212" s="4"/>
      <c r="U212" s="4"/>
      <c r="V212" s="4"/>
    </row>
    <row r="213" spans="1:22" s="6" customFormat="1" ht="12.75">
      <c r="A213" s="16"/>
      <c r="C213" s="275"/>
      <c r="D213" s="275"/>
      <c r="E213" s="4"/>
      <c r="F213" s="4"/>
      <c r="G213" s="4"/>
      <c r="H213" s="4"/>
      <c r="I213" s="4"/>
      <c r="J213" s="4"/>
      <c r="K213" s="4"/>
      <c r="L213" s="4"/>
      <c r="M213" s="4"/>
      <c r="O213" s="4"/>
      <c r="P213" s="4"/>
      <c r="Q213" s="4"/>
      <c r="R213" s="4"/>
      <c r="S213" s="4"/>
      <c r="T213" s="4"/>
      <c r="U213" s="4"/>
      <c r="V213" s="4"/>
    </row>
    <row r="214" spans="1:22" s="6" customFormat="1" ht="12.75">
      <c r="A214" s="16"/>
      <c r="C214" s="275"/>
      <c r="D214" s="275"/>
      <c r="E214" s="4"/>
      <c r="F214" s="4"/>
      <c r="G214" s="4"/>
      <c r="H214" s="4"/>
      <c r="I214" s="4"/>
      <c r="J214" s="4"/>
      <c r="K214" s="4"/>
      <c r="L214" s="4"/>
      <c r="M214" s="4"/>
      <c r="O214" s="4"/>
      <c r="P214" s="4"/>
      <c r="Q214" s="4"/>
      <c r="R214" s="4"/>
      <c r="S214" s="4"/>
      <c r="T214" s="4"/>
      <c r="U214" s="4"/>
      <c r="V214" s="4"/>
    </row>
    <row r="215" spans="1:22" s="6" customFormat="1" ht="12.75">
      <c r="A215" s="16"/>
      <c r="C215" s="275"/>
      <c r="D215" s="275"/>
      <c r="E215" s="4"/>
      <c r="F215" s="4"/>
      <c r="G215" s="4"/>
      <c r="H215" s="4"/>
      <c r="I215" s="4"/>
      <c r="J215" s="4"/>
      <c r="K215" s="4"/>
      <c r="L215" s="4"/>
      <c r="M215" s="4"/>
      <c r="O215" s="4"/>
      <c r="P215" s="4"/>
      <c r="Q215" s="4"/>
      <c r="R215" s="4"/>
      <c r="S215" s="4"/>
      <c r="T215" s="4"/>
      <c r="U215" s="4"/>
      <c r="V215" s="4"/>
    </row>
    <row r="216" spans="1:22" s="6" customFormat="1" ht="12.75">
      <c r="A216" s="16"/>
      <c r="C216" s="275"/>
      <c r="D216" s="275"/>
      <c r="E216" s="4"/>
      <c r="F216" s="4"/>
      <c r="G216" s="4"/>
      <c r="H216" s="4"/>
      <c r="I216" s="4"/>
      <c r="J216" s="4"/>
      <c r="K216" s="4"/>
      <c r="L216" s="4"/>
      <c r="M216" s="4"/>
      <c r="O216" s="4"/>
      <c r="P216" s="4"/>
      <c r="Q216" s="4"/>
      <c r="R216" s="4"/>
      <c r="S216" s="4"/>
      <c r="T216" s="4"/>
      <c r="U216" s="4"/>
      <c r="V216" s="4"/>
    </row>
    <row r="217" spans="1:22" s="6" customFormat="1" ht="12.75">
      <c r="A217" s="16"/>
      <c r="C217" s="275"/>
      <c r="D217" s="275"/>
      <c r="E217" s="4"/>
      <c r="F217" s="4"/>
      <c r="G217" s="4"/>
      <c r="H217" s="4"/>
      <c r="I217" s="4"/>
      <c r="J217" s="4"/>
      <c r="K217" s="4"/>
      <c r="L217" s="4"/>
      <c r="M217" s="4"/>
      <c r="O217" s="4"/>
      <c r="P217" s="4"/>
      <c r="Q217" s="4"/>
      <c r="R217" s="4"/>
      <c r="S217" s="4"/>
      <c r="T217" s="4"/>
      <c r="U217" s="4"/>
      <c r="V217" s="4"/>
    </row>
    <row r="218" spans="1:22" s="6" customFormat="1" ht="12.75">
      <c r="A218" s="16"/>
      <c r="C218" s="275"/>
      <c r="D218" s="275"/>
      <c r="E218" s="4"/>
      <c r="F218" s="4"/>
      <c r="G218" s="4"/>
      <c r="H218" s="4"/>
      <c r="I218" s="4"/>
      <c r="J218" s="4"/>
      <c r="K218" s="4"/>
      <c r="L218" s="4"/>
      <c r="M218" s="4"/>
      <c r="O218" s="4"/>
      <c r="P218" s="4"/>
      <c r="Q218" s="4"/>
      <c r="R218" s="4"/>
      <c r="S218" s="4"/>
      <c r="T218" s="4"/>
      <c r="U218" s="4"/>
      <c r="V218" s="4"/>
    </row>
    <row r="219" spans="1:22" s="6" customFormat="1" ht="12.75">
      <c r="A219" s="16"/>
      <c r="C219" s="275"/>
      <c r="D219" s="275"/>
      <c r="E219" s="4"/>
      <c r="F219" s="4"/>
      <c r="G219" s="4"/>
      <c r="H219" s="4"/>
      <c r="I219" s="4"/>
      <c r="J219" s="4"/>
      <c r="K219" s="4"/>
      <c r="L219" s="4"/>
      <c r="M219" s="4"/>
      <c r="O219" s="4"/>
      <c r="P219" s="4"/>
      <c r="Q219" s="4"/>
      <c r="R219" s="4"/>
      <c r="S219" s="4"/>
      <c r="T219" s="4"/>
      <c r="U219" s="4"/>
      <c r="V219" s="4"/>
    </row>
    <row r="220" spans="1:22" s="6" customFormat="1" ht="12.75">
      <c r="A220" s="16"/>
      <c r="C220" s="275"/>
      <c r="D220" s="275"/>
      <c r="E220" s="4"/>
      <c r="F220" s="4"/>
      <c r="G220" s="4"/>
      <c r="H220" s="4"/>
      <c r="I220" s="4"/>
      <c r="J220" s="4"/>
      <c r="K220" s="4"/>
      <c r="L220" s="4"/>
      <c r="M220" s="4"/>
      <c r="O220" s="4"/>
      <c r="P220" s="4"/>
      <c r="Q220" s="4"/>
      <c r="R220" s="4"/>
      <c r="S220" s="4"/>
      <c r="T220" s="4"/>
      <c r="U220" s="4"/>
      <c r="V220" s="4"/>
    </row>
    <row r="221" spans="1:22" s="6" customFormat="1" ht="12.75">
      <c r="A221" s="16"/>
      <c r="C221" s="275"/>
      <c r="D221" s="275"/>
      <c r="E221" s="4"/>
      <c r="F221" s="4"/>
      <c r="G221" s="4"/>
      <c r="H221" s="4"/>
      <c r="I221" s="4"/>
      <c r="J221" s="4"/>
      <c r="K221" s="4"/>
      <c r="L221" s="4"/>
      <c r="M221" s="4"/>
      <c r="O221" s="4"/>
      <c r="P221" s="4"/>
      <c r="Q221" s="4"/>
      <c r="R221" s="4"/>
      <c r="S221" s="4"/>
      <c r="T221" s="4"/>
      <c r="U221" s="4"/>
      <c r="V221" s="4"/>
    </row>
    <row r="222" spans="1:22" s="6" customFormat="1" ht="12.75">
      <c r="A222" s="16"/>
      <c r="C222" s="275"/>
      <c r="D222" s="275"/>
      <c r="E222" s="4"/>
      <c r="F222" s="4"/>
      <c r="G222" s="4"/>
      <c r="H222" s="4"/>
      <c r="I222" s="4"/>
      <c r="J222" s="4"/>
      <c r="K222" s="4"/>
      <c r="L222" s="4"/>
      <c r="M222" s="4"/>
      <c r="O222" s="4"/>
      <c r="P222" s="4"/>
      <c r="Q222" s="4"/>
      <c r="R222" s="4"/>
      <c r="S222" s="4"/>
      <c r="T222" s="4"/>
      <c r="U222" s="4"/>
      <c r="V222" s="4"/>
    </row>
    <row r="223" spans="1:22" s="6" customFormat="1" ht="12.75">
      <c r="A223" s="16"/>
      <c r="C223" s="275"/>
      <c r="D223" s="275"/>
      <c r="E223" s="4"/>
      <c r="F223" s="4"/>
      <c r="G223" s="4"/>
      <c r="H223" s="4"/>
      <c r="I223" s="4"/>
      <c r="J223" s="4"/>
      <c r="K223" s="4"/>
      <c r="L223" s="4"/>
      <c r="M223" s="4"/>
      <c r="O223" s="4"/>
      <c r="P223" s="4"/>
      <c r="Q223" s="4"/>
      <c r="R223" s="4"/>
      <c r="S223" s="4"/>
      <c r="T223" s="4"/>
      <c r="U223" s="4"/>
      <c r="V223" s="4"/>
    </row>
    <row r="224" spans="1:22" s="6" customFormat="1" ht="12.75">
      <c r="A224" s="16"/>
      <c r="C224" s="275"/>
      <c r="D224" s="275"/>
      <c r="E224" s="4"/>
      <c r="F224" s="4"/>
      <c r="G224" s="4"/>
      <c r="H224" s="4"/>
      <c r="I224" s="4"/>
      <c r="J224" s="4"/>
      <c r="K224" s="4"/>
      <c r="L224" s="4"/>
      <c r="M224" s="4"/>
      <c r="O224" s="4"/>
      <c r="P224" s="4"/>
      <c r="Q224" s="4"/>
      <c r="R224" s="4"/>
      <c r="S224" s="4"/>
      <c r="T224" s="4"/>
      <c r="U224" s="4"/>
      <c r="V224" s="4"/>
    </row>
    <row r="225" spans="1:22" s="6" customFormat="1" ht="12.75">
      <c r="A225" s="16"/>
      <c r="C225" s="275"/>
      <c r="D225" s="275"/>
      <c r="E225" s="4"/>
      <c r="F225" s="4"/>
      <c r="G225" s="4"/>
      <c r="H225" s="4"/>
      <c r="I225" s="4"/>
      <c r="J225" s="4"/>
      <c r="K225" s="4"/>
      <c r="L225" s="4"/>
      <c r="M225" s="4"/>
      <c r="O225" s="4"/>
      <c r="P225" s="4"/>
      <c r="Q225" s="4"/>
      <c r="R225" s="4"/>
      <c r="S225" s="4"/>
      <c r="T225" s="4"/>
      <c r="U225" s="4"/>
      <c r="V225" s="4"/>
    </row>
    <row r="226" spans="1:22" s="6" customFormat="1" ht="12.75">
      <c r="A226" s="16"/>
      <c r="C226" s="275"/>
      <c r="D226" s="275"/>
      <c r="E226" s="4"/>
      <c r="F226" s="4"/>
      <c r="G226" s="4"/>
      <c r="H226" s="4"/>
      <c r="I226" s="4"/>
      <c r="J226" s="4"/>
      <c r="K226" s="4"/>
      <c r="L226" s="4"/>
      <c r="M226" s="4"/>
      <c r="O226" s="4"/>
      <c r="P226" s="4"/>
      <c r="Q226" s="4"/>
      <c r="R226" s="4"/>
      <c r="S226" s="4"/>
      <c r="T226" s="4"/>
      <c r="U226" s="4"/>
      <c r="V226" s="4"/>
    </row>
    <row r="227" spans="1:22" s="6" customFormat="1" ht="12.75">
      <c r="A227" s="16"/>
      <c r="C227" s="275"/>
      <c r="D227" s="275"/>
      <c r="E227" s="4"/>
      <c r="F227" s="4"/>
      <c r="G227" s="4"/>
      <c r="H227" s="4"/>
      <c r="I227" s="4"/>
      <c r="J227" s="4"/>
      <c r="K227" s="4"/>
      <c r="L227" s="4"/>
      <c r="M227" s="4"/>
      <c r="O227" s="4"/>
      <c r="P227" s="4"/>
      <c r="Q227" s="4"/>
      <c r="R227" s="4"/>
      <c r="S227" s="4"/>
      <c r="T227" s="4"/>
      <c r="U227" s="4"/>
      <c r="V227" s="4"/>
    </row>
    <row r="228" spans="1:22" s="6" customFormat="1" ht="12.75">
      <c r="A228" s="16"/>
      <c r="C228" s="275"/>
      <c r="D228" s="275"/>
      <c r="E228" s="4"/>
      <c r="F228" s="4"/>
      <c r="G228" s="4"/>
      <c r="H228" s="4"/>
      <c r="I228" s="4"/>
      <c r="J228" s="4"/>
      <c r="K228" s="4"/>
      <c r="L228" s="4"/>
      <c r="M228" s="4"/>
      <c r="O228" s="4"/>
      <c r="P228" s="4"/>
      <c r="Q228" s="4"/>
      <c r="R228" s="4"/>
      <c r="S228" s="4"/>
      <c r="T228" s="4"/>
      <c r="U228" s="4"/>
      <c r="V228" s="4"/>
    </row>
    <row r="229" spans="1:22" s="6" customFormat="1" ht="12.75">
      <c r="A229" s="16"/>
      <c r="C229" s="275"/>
      <c r="D229" s="275"/>
      <c r="E229" s="4"/>
      <c r="F229" s="4"/>
      <c r="G229" s="4"/>
      <c r="H229" s="4"/>
      <c r="I229" s="4"/>
      <c r="J229" s="4"/>
      <c r="K229" s="4"/>
      <c r="L229" s="4"/>
      <c r="M229" s="4"/>
      <c r="O229" s="4"/>
      <c r="P229" s="4"/>
      <c r="Q229" s="4"/>
      <c r="R229" s="4"/>
      <c r="S229" s="4"/>
      <c r="T229" s="4"/>
      <c r="U229" s="4"/>
      <c r="V229" s="4"/>
    </row>
    <row r="230" spans="1:22" s="6" customFormat="1" ht="12.75">
      <c r="A230" s="16"/>
      <c r="C230" s="275"/>
      <c r="D230" s="275"/>
      <c r="E230" s="4"/>
      <c r="F230" s="4"/>
      <c r="G230" s="4"/>
      <c r="H230" s="4"/>
      <c r="I230" s="4"/>
      <c r="J230" s="4"/>
      <c r="K230" s="4"/>
      <c r="L230" s="4"/>
      <c r="M230" s="4"/>
      <c r="O230" s="4"/>
      <c r="P230" s="4"/>
      <c r="Q230" s="4"/>
      <c r="R230" s="4"/>
      <c r="S230" s="4"/>
      <c r="T230" s="4"/>
      <c r="U230" s="4"/>
      <c r="V230" s="4"/>
    </row>
    <row r="231" spans="1:22" s="6" customFormat="1" ht="12.75">
      <c r="A231" s="16"/>
      <c r="C231" s="275"/>
      <c r="D231" s="275"/>
      <c r="E231" s="4"/>
      <c r="F231" s="4"/>
      <c r="G231" s="4"/>
      <c r="H231" s="4"/>
      <c r="I231" s="4"/>
      <c r="J231" s="4"/>
      <c r="K231" s="4"/>
      <c r="L231" s="4"/>
      <c r="M231" s="4"/>
      <c r="O231" s="4"/>
      <c r="P231" s="4"/>
      <c r="Q231" s="4"/>
      <c r="R231" s="4"/>
      <c r="S231" s="4"/>
      <c r="T231" s="4"/>
      <c r="U231" s="4"/>
      <c r="V231" s="4"/>
    </row>
    <row r="232" spans="1:22" s="6" customFormat="1" ht="12.75">
      <c r="A232" s="16"/>
      <c r="C232" s="275"/>
      <c r="D232" s="275"/>
      <c r="E232" s="4"/>
      <c r="F232" s="4"/>
      <c r="G232" s="4"/>
      <c r="H232" s="4"/>
      <c r="I232" s="4"/>
      <c r="J232" s="4"/>
      <c r="K232" s="4"/>
      <c r="L232" s="4"/>
      <c r="M232" s="4"/>
      <c r="O232" s="4"/>
      <c r="P232" s="4"/>
      <c r="Q232" s="4"/>
      <c r="R232" s="4"/>
      <c r="S232" s="4"/>
      <c r="T232" s="4"/>
      <c r="U232" s="4"/>
      <c r="V232" s="4"/>
    </row>
    <row r="233" spans="1:22" s="6" customFormat="1" ht="12.75">
      <c r="A233" s="16"/>
      <c r="C233" s="275"/>
      <c r="D233" s="275"/>
      <c r="E233" s="4"/>
      <c r="F233" s="4"/>
      <c r="G233" s="4"/>
      <c r="H233" s="4"/>
      <c r="I233" s="4"/>
      <c r="J233" s="4"/>
      <c r="K233" s="4"/>
      <c r="L233" s="4"/>
      <c r="M233" s="4"/>
      <c r="O233" s="4"/>
      <c r="P233" s="4"/>
      <c r="Q233" s="4"/>
      <c r="R233" s="4"/>
      <c r="S233" s="4"/>
      <c r="T233" s="4"/>
      <c r="U233" s="4"/>
      <c r="V233" s="4"/>
    </row>
    <row r="234" spans="1:22" s="6" customFormat="1" ht="12.75">
      <c r="A234" s="16"/>
      <c r="C234" s="275"/>
      <c r="D234" s="275"/>
      <c r="E234" s="4"/>
      <c r="F234" s="4"/>
      <c r="G234" s="4"/>
      <c r="H234" s="4"/>
      <c r="I234" s="4"/>
      <c r="J234" s="4"/>
      <c r="K234" s="4"/>
      <c r="L234" s="4"/>
      <c r="M234" s="4"/>
      <c r="O234" s="4"/>
      <c r="P234" s="4"/>
      <c r="Q234" s="4"/>
      <c r="R234" s="4"/>
      <c r="S234" s="4"/>
      <c r="T234" s="4"/>
      <c r="U234" s="4"/>
      <c r="V234" s="4"/>
    </row>
    <row r="235" spans="1:22" s="6" customFormat="1" ht="12.75">
      <c r="A235" s="16"/>
      <c r="C235" s="275"/>
      <c r="D235" s="275"/>
      <c r="E235" s="4"/>
      <c r="F235" s="4"/>
      <c r="G235" s="4"/>
      <c r="H235" s="4"/>
      <c r="I235" s="4"/>
      <c r="J235" s="4"/>
      <c r="K235" s="4"/>
      <c r="L235" s="4"/>
      <c r="M235" s="4"/>
      <c r="O235" s="4"/>
      <c r="P235" s="4"/>
      <c r="Q235" s="4"/>
      <c r="R235" s="4"/>
      <c r="S235" s="4"/>
      <c r="T235" s="4"/>
      <c r="U235" s="4"/>
      <c r="V235" s="4"/>
    </row>
    <row r="236" spans="1:22" s="6" customFormat="1" ht="12.75">
      <c r="A236" s="16"/>
      <c r="C236" s="275"/>
      <c r="D236" s="275"/>
      <c r="E236" s="4"/>
      <c r="F236" s="4"/>
      <c r="G236" s="4"/>
      <c r="H236" s="4"/>
      <c r="I236" s="4"/>
      <c r="J236" s="4"/>
      <c r="K236" s="4"/>
      <c r="L236" s="4"/>
      <c r="M236" s="4"/>
      <c r="O236" s="4"/>
      <c r="P236" s="4"/>
      <c r="Q236" s="4"/>
      <c r="R236" s="4"/>
      <c r="S236" s="4"/>
      <c r="T236" s="4"/>
      <c r="U236" s="4"/>
      <c r="V236" s="4"/>
    </row>
    <row r="237" spans="1:22" s="6" customFormat="1" ht="12.75">
      <c r="A237" s="16"/>
      <c r="C237" s="275"/>
      <c r="D237" s="275"/>
      <c r="E237" s="4"/>
      <c r="F237" s="4"/>
      <c r="G237" s="4"/>
      <c r="H237" s="4"/>
      <c r="I237" s="4"/>
      <c r="J237" s="4"/>
      <c r="K237" s="4"/>
      <c r="L237" s="4"/>
      <c r="M237" s="4"/>
      <c r="O237" s="4"/>
      <c r="P237" s="4"/>
      <c r="Q237" s="4"/>
      <c r="R237" s="4"/>
      <c r="S237" s="4"/>
      <c r="T237" s="4"/>
      <c r="U237" s="4"/>
      <c r="V237" s="4"/>
    </row>
    <row r="238" spans="1:22" s="6" customFormat="1" ht="12.75">
      <c r="A238" s="16"/>
      <c r="C238" s="275"/>
      <c r="D238" s="275"/>
      <c r="E238" s="4"/>
      <c r="F238" s="4"/>
      <c r="G238" s="4"/>
      <c r="H238" s="4"/>
      <c r="I238" s="4"/>
      <c r="J238" s="4"/>
      <c r="K238" s="4"/>
      <c r="L238" s="4"/>
      <c r="M238" s="4"/>
      <c r="O238" s="4"/>
      <c r="P238" s="4"/>
      <c r="Q238" s="4"/>
      <c r="R238" s="4"/>
      <c r="S238" s="4"/>
      <c r="T238" s="4"/>
      <c r="U238" s="4"/>
      <c r="V238" s="4"/>
    </row>
    <row r="239" spans="1:22" s="6" customFormat="1" ht="12.75">
      <c r="A239" s="16"/>
      <c r="C239" s="275"/>
      <c r="D239" s="275"/>
      <c r="E239" s="4"/>
      <c r="F239" s="4"/>
      <c r="G239" s="4"/>
      <c r="H239" s="4"/>
      <c r="I239" s="4"/>
      <c r="J239" s="4"/>
      <c r="K239" s="4"/>
      <c r="L239" s="4"/>
      <c r="M239" s="4"/>
      <c r="O239" s="4"/>
      <c r="P239" s="4"/>
      <c r="Q239" s="4"/>
      <c r="R239" s="4"/>
      <c r="S239" s="4"/>
      <c r="T239" s="4"/>
      <c r="U239" s="4"/>
      <c r="V239" s="4"/>
    </row>
    <row r="240" spans="1:22" s="6" customFormat="1" ht="12.75">
      <c r="A240" s="16"/>
      <c r="C240" s="275"/>
      <c r="D240" s="275"/>
      <c r="E240" s="4"/>
      <c r="F240" s="4"/>
      <c r="G240" s="4"/>
      <c r="H240" s="4"/>
      <c r="I240" s="4"/>
      <c r="J240" s="4"/>
      <c r="K240" s="4"/>
      <c r="L240" s="4"/>
      <c r="M240" s="4"/>
      <c r="O240" s="4"/>
      <c r="P240" s="4"/>
      <c r="Q240" s="4"/>
      <c r="R240" s="4"/>
      <c r="S240" s="4"/>
      <c r="T240" s="4"/>
      <c r="U240" s="4"/>
      <c r="V240" s="4"/>
    </row>
    <row r="241" spans="1:22" s="6" customFormat="1" ht="12.75">
      <c r="A241" s="16"/>
      <c r="C241" s="275"/>
      <c r="D241" s="275"/>
      <c r="E241" s="4"/>
      <c r="F241" s="4"/>
      <c r="G241" s="4"/>
      <c r="H241" s="4"/>
      <c r="I241" s="4"/>
      <c r="J241" s="4"/>
      <c r="K241" s="4"/>
      <c r="L241" s="4"/>
      <c r="M241" s="4"/>
      <c r="O241" s="4"/>
      <c r="P241" s="4"/>
      <c r="Q241" s="4"/>
      <c r="R241" s="4"/>
      <c r="S241" s="4"/>
      <c r="T241" s="4"/>
      <c r="U241" s="4"/>
      <c r="V241" s="4"/>
    </row>
    <row r="242" spans="1:22" s="6" customFormat="1" ht="12.75">
      <c r="A242" s="16"/>
      <c r="C242" s="275"/>
      <c r="D242" s="275"/>
      <c r="E242" s="4"/>
      <c r="F242" s="4"/>
      <c r="G242" s="4"/>
      <c r="H242" s="4"/>
      <c r="I242" s="4"/>
      <c r="J242" s="4"/>
      <c r="K242" s="4"/>
      <c r="L242" s="4"/>
      <c r="M242" s="4"/>
      <c r="O242" s="4"/>
      <c r="P242" s="4"/>
      <c r="Q242" s="4"/>
      <c r="R242" s="4"/>
      <c r="S242" s="4"/>
      <c r="T242" s="4"/>
      <c r="U242" s="4"/>
      <c r="V242" s="4"/>
    </row>
    <row r="243" spans="1:22" s="6" customFormat="1" ht="12.75">
      <c r="A243" s="16"/>
      <c r="C243" s="275"/>
      <c r="D243" s="275"/>
      <c r="E243" s="4"/>
      <c r="F243" s="4"/>
      <c r="G243" s="4"/>
      <c r="H243" s="4"/>
      <c r="I243" s="4"/>
      <c r="J243" s="4"/>
      <c r="K243" s="4"/>
      <c r="L243" s="4"/>
      <c r="M243" s="4"/>
      <c r="O243" s="4"/>
      <c r="P243" s="4"/>
      <c r="Q243" s="4"/>
      <c r="R243" s="4"/>
      <c r="S243" s="4"/>
      <c r="T243" s="4"/>
      <c r="U243" s="4"/>
      <c r="V243" s="4"/>
    </row>
    <row r="244" spans="1:22" s="6" customFormat="1" ht="12.75">
      <c r="A244" s="16"/>
      <c r="C244" s="275"/>
      <c r="D244" s="275"/>
      <c r="E244" s="4"/>
      <c r="F244" s="4"/>
      <c r="G244" s="4"/>
      <c r="H244" s="4"/>
      <c r="I244" s="4"/>
      <c r="J244" s="4"/>
      <c r="K244" s="4"/>
      <c r="L244" s="4"/>
      <c r="M244" s="4"/>
      <c r="O244" s="4"/>
      <c r="P244" s="4"/>
      <c r="Q244" s="4"/>
      <c r="R244" s="4"/>
      <c r="S244" s="4"/>
      <c r="T244" s="4"/>
      <c r="U244" s="4"/>
      <c r="V244" s="4"/>
    </row>
    <row r="245" spans="1:22" s="6" customFormat="1" ht="12.75">
      <c r="A245" s="16"/>
      <c r="C245" s="275"/>
      <c r="D245" s="275"/>
      <c r="E245" s="4"/>
      <c r="F245" s="4"/>
      <c r="G245" s="4"/>
      <c r="H245" s="4"/>
      <c r="I245" s="4"/>
      <c r="J245" s="4"/>
      <c r="K245" s="4"/>
      <c r="L245" s="4"/>
      <c r="M245" s="4"/>
      <c r="O245" s="4"/>
      <c r="P245" s="4"/>
      <c r="Q245" s="4"/>
      <c r="R245" s="4"/>
      <c r="S245" s="4"/>
      <c r="T245" s="4"/>
      <c r="U245" s="4"/>
      <c r="V245" s="4"/>
    </row>
    <row r="246" spans="1:22" s="6" customFormat="1" ht="12.75">
      <c r="A246" s="16"/>
      <c r="C246" s="275"/>
      <c r="D246" s="275"/>
      <c r="E246" s="4"/>
      <c r="F246" s="4"/>
      <c r="G246" s="4"/>
      <c r="H246" s="4"/>
      <c r="I246" s="4"/>
      <c r="J246" s="4"/>
      <c r="K246" s="4"/>
      <c r="L246" s="4"/>
      <c r="M246" s="4"/>
      <c r="O246" s="4"/>
      <c r="P246" s="4"/>
      <c r="Q246" s="4"/>
      <c r="R246" s="4"/>
      <c r="S246" s="4"/>
      <c r="T246" s="4"/>
      <c r="U246" s="4"/>
      <c r="V246" s="4"/>
    </row>
    <row r="247" spans="1:22" s="6" customFormat="1" ht="12.75">
      <c r="A247" s="16"/>
      <c r="C247" s="275"/>
      <c r="D247" s="275"/>
      <c r="E247" s="4"/>
      <c r="F247" s="4"/>
      <c r="G247" s="4"/>
      <c r="H247" s="4"/>
      <c r="I247" s="4"/>
      <c r="J247" s="4"/>
      <c r="K247" s="4"/>
      <c r="L247" s="4"/>
      <c r="M247" s="4"/>
      <c r="O247" s="4"/>
      <c r="P247" s="4"/>
      <c r="Q247" s="4"/>
      <c r="R247" s="4"/>
      <c r="S247" s="4"/>
      <c r="T247" s="4"/>
      <c r="U247" s="4"/>
      <c r="V247" s="4"/>
    </row>
    <row r="248" spans="1:22" s="6" customFormat="1" ht="12.75">
      <c r="A248" s="16"/>
      <c r="C248" s="275"/>
      <c r="D248" s="275"/>
      <c r="E248" s="4"/>
      <c r="F248" s="4"/>
      <c r="G248" s="4"/>
      <c r="H248" s="4"/>
      <c r="I248" s="4"/>
      <c r="J248" s="4"/>
      <c r="K248" s="4"/>
      <c r="L248" s="4"/>
      <c r="M248" s="4"/>
      <c r="O248" s="4"/>
      <c r="P248" s="4"/>
      <c r="Q248" s="4"/>
      <c r="R248" s="4"/>
      <c r="S248" s="4"/>
      <c r="T248" s="4"/>
      <c r="U248" s="4"/>
      <c r="V248" s="4"/>
    </row>
    <row r="249" spans="1:22" s="6" customFormat="1" ht="12.75">
      <c r="A249" s="16"/>
      <c r="C249" s="275"/>
      <c r="D249" s="275"/>
      <c r="E249" s="4"/>
      <c r="F249" s="4"/>
      <c r="G249" s="4"/>
      <c r="H249" s="4"/>
      <c r="I249" s="4"/>
      <c r="J249" s="4"/>
      <c r="K249" s="4"/>
      <c r="L249" s="4"/>
      <c r="M249" s="4"/>
      <c r="O249" s="4"/>
      <c r="P249" s="4"/>
      <c r="Q249" s="4"/>
      <c r="R249" s="4"/>
      <c r="S249" s="4"/>
      <c r="T249" s="4"/>
      <c r="U249" s="4"/>
      <c r="V249" s="4"/>
    </row>
    <row r="250" spans="1:22" s="6" customFormat="1" ht="12.75">
      <c r="A250" s="16"/>
      <c r="C250" s="275"/>
      <c r="D250" s="275"/>
      <c r="E250" s="4"/>
      <c r="F250" s="4"/>
      <c r="G250" s="4"/>
      <c r="H250" s="4"/>
      <c r="I250" s="4"/>
      <c r="J250" s="4"/>
      <c r="K250" s="4"/>
      <c r="L250" s="4"/>
      <c r="M250" s="4"/>
      <c r="O250" s="4"/>
      <c r="P250" s="4"/>
      <c r="Q250" s="4"/>
      <c r="R250" s="4"/>
      <c r="S250" s="4"/>
      <c r="T250" s="4"/>
      <c r="U250" s="4"/>
      <c r="V250" s="4"/>
    </row>
    <row r="251" spans="1:22" s="6" customFormat="1" ht="12.75">
      <c r="A251" s="16"/>
      <c r="C251" s="275"/>
      <c r="D251" s="275"/>
      <c r="E251" s="4"/>
      <c r="F251" s="4"/>
      <c r="G251" s="4"/>
      <c r="H251" s="4"/>
      <c r="I251" s="4"/>
      <c r="J251" s="4"/>
      <c r="K251" s="4"/>
      <c r="L251" s="4"/>
      <c r="M251" s="4"/>
      <c r="O251" s="4"/>
      <c r="P251" s="4"/>
      <c r="Q251" s="4"/>
      <c r="R251" s="4"/>
      <c r="S251" s="4"/>
      <c r="T251" s="4"/>
      <c r="U251" s="4"/>
      <c r="V251" s="4"/>
    </row>
    <row r="252" spans="1:22" s="6" customFormat="1" ht="12.75">
      <c r="A252" s="16"/>
      <c r="C252" s="275"/>
      <c r="D252" s="275"/>
      <c r="E252" s="4"/>
      <c r="F252" s="4"/>
      <c r="G252" s="4"/>
      <c r="H252" s="4"/>
      <c r="I252" s="4"/>
      <c r="J252" s="4"/>
      <c r="K252" s="4"/>
      <c r="L252" s="4"/>
      <c r="M252" s="4"/>
      <c r="O252" s="4"/>
      <c r="P252" s="4"/>
      <c r="Q252" s="4"/>
      <c r="R252" s="4"/>
      <c r="S252" s="4"/>
      <c r="T252" s="4"/>
      <c r="U252" s="4"/>
      <c r="V252" s="4"/>
    </row>
    <row r="253" spans="1:22" s="6" customFormat="1" ht="12.75">
      <c r="A253" s="16"/>
      <c r="C253" s="275"/>
      <c r="D253" s="275"/>
      <c r="E253" s="4"/>
      <c r="F253" s="4"/>
      <c r="G253" s="4"/>
      <c r="H253" s="4"/>
      <c r="I253" s="4"/>
      <c r="J253" s="4"/>
      <c r="K253" s="4"/>
      <c r="L253" s="4"/>
      <c r="M253" s="4"/>
      <c r="O253" s="4"/>
      <c r="P253" s="4"/>
      <c r="Q253" s="4"/>
      <c r="R253" s="4"/>
      <c r="S253" s="4"/>
      <c r="T253" s="4"/>
      <c r="U253" s="4"/>
      <c r="V253" s="4"/>
    </row>
    <row r="254" spans="1:22" s="6" customFormat="1" ht="12.75">
      <c r="A254" s="16"/>
      <c r="C254" s="275"/>
      <c r="D254" s="275"/>
      <c r="E254" s="4"/>
      <c r="F254" s="4"/>
      <c r="G254" s="4"/>
      <c r="H254" s="4"/>
      <c r="I254" s="4"/>
      <c r="J254" s="4"/>
      <c r="K254" s="4"/>
      <c r="L254" s="4"/>
      <c r="M254" s="4"/>
      <c r="O254" s="4"/>
      <c r="P254" s="4"/>
      <c r="Q254" s="4"/>
      <c r="R254" s="4"/>
      <c r="S254" s="4"/>
      <c r="T254" s="4"/>
      <c r="U254" s="4"/>
      <c r="V254" s="4"/>
    </row>
    <row r="255" spans="1:22" s="6" customFormat="1" ht="12.75">
      <c r="A255" s="16"/>
      <c r="C255" s="275"/>
      <c r="D255" s="275"/>
      <c r="E255" s="4"/>
      <c r="F255" s="4"/>
      <c r="G255" s="4"/>
      <c r="H255" s="4"/>
      <c r="I255" s="4"/>
      <c r="J255" s="4"/>
      <c r="K255" s="4"/>
      <c r="L255" s="4"/>
      <c r="M255" s="4"/>
      <c r="O255" s="4"/>
      <c r="P255" s="4"/>
      <c r="Q255" s="4"/>
      <c r="R255" s="4"/>
      <c r="S255" s="4"/>
      <c r="T255" s="4"/>
      <c r="U255" s="4"/>
      <c r="V255" s="4"/>
    </row>
    <row r="256" spans="1:22" s="6" customFormat="1" ht="12.75">
      <c r="A256" s="16"/>
      <c r="C256" s="275"/>
      <c r="D256" s="275"/>
      <c r="E256" s="4"/>
      <c r="F256" s="4"/>
      <c r="G256" s="4"/>
      <c r="H256" s="4"/>
      <c r="I256" s="4"/>
      <c r="J256" s="4"/>
      <c r="K256" s="4"/>
      <c r="L256" s="4"/>
      <c r="M256" s="4"/>
      <c r="O256" s="4"/>
      <c r="P256" s="4"/>
      <c r="Q256" s="4"/>
      <c r="R256" s="4"/>
      <c r="S256" s="4"/>
      <c r="T256" s="4"/>
      <c r="U256" s="4"/>
      <c r="V256" s="4"/>
    </row>
    <row r="257" spans="1:22" s="6" customFormat="1" ht="12.75">
      <c r="A257" s="16"/>
      <c r="C257" s="275"/>
      <c r="D257" s="275"/>
      <c r="E257" s="4"/>
      <c r="F257" s="4"/>
      <c r="G257" s="4"/>
      <c r="H257" s="4"/>
      <c r="I257" s="4"/>
      <c r="J257" s="4"/>
      <c r="K257" s="4"/>
      <c r="L257" s="4"/>
      <c r="M257" s="4"/>
      <c r="O257" s="4"/>
      <c r="P257" s="4"/>
      <c r="Q257" s="4"/>
      <c r="R257" s="4"/>
      <c r="S257" s="4"/>
      <c r="T257" s="4"/>
      <c r="U257" s="4"/>
      <c r="V257" s="4"/>
    </row>
  </sheetData>
  <sheetProtection/>
  <mergeCells count="21">
    <mergeCell ref="A58:B59"/>
    <mergeCell ref="A46:B47"/>
    <mergeCell ref="M2:N2"/>
    <mergeCell ref="A2:B3"/>
    <mergeCell ref="K2:L2"/>
    <mergeCell ref="K58:L58"/>
    <mergeCell ref="M58:N58"/>
    <mergeCell ref="E46:F46"/>
    <mergeCell ref="E58:F58"/>
    <mergeCell ref="E2:F2"/>
    <mergeCell ref="U2:V2"/>
    <mergeCell ref="U46:V46"/>
    <mergeCell ref="U58:V58"/>
    <mergeCell ref="S2:T2"/>
    <mergeCell ref="S58:T58"/>
    <mergeCell ref="S46:T46"/>
    <mergeCell ref="Q2:R2"/>
    <mergeCell ref="Q46:R46"/>
    <mergeCell ref="Q58:R58"/>
    <mergeCell ref="K46:L46"/>
    <mergeCell ref="M46:N46"/>
  </mergeCells>
  <printOptions horizontalCentered="1"/>
  <pageMargins left="0" right="0" top="1.141732283464567" bottom="1.141732283464567" header="0" footer="0"/>
  <pageSetup horizontalDpi="600" verticalDpi="600" orientation="landscape" paperSize="9" r:id="rId1"/>
  <headerFooter alignWithMargins="0">
    <oddHeader>&amp;R26.10.2009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V11"/>
  <sheetViews>
    <sheetView showGridLines="0" zoomScalePageLayoutView="0" workbookViewId="0" topLeftCell="A1">
      <pane xSplit="2" ySplit="3" topLeftCell="D4" activePane="bottomRight" state="frozen"/>
      <selection pane="topLeft" activeCell="D4" sqref="D4"/>
      <selection pane="topRight" activeCell="D4" sqref="D4"/>
      <selection pane="bottomLeft" activeCell="D4" sqref="D4"/>
      <selection pane="bottomRight" activeCell="R27" sqref="R27"/>
    </sheetView>
  </sheetViews>
  <sheetFormatPr defaultColWidth="9.140625" defaultRowHeight="12.75"/>
  <cols>
    <col min="1" max="1" width="7.7109375" style="12" customWidth="1"/>
    <col min="2" max="2" width="65.00390625" style="3" customWidth="1"/>
    <col min="3" max="4" width="10.7109375" style="3" hidden="1" customWidth="1"/>
    <col min="5" max="6" width="10.7109375" style="6" customWidth="1"/>
    <col min="7" max="13" width="10.7109375" style="6" hidden="1" customWidth="1"/>
    <col min="14" max="14" width="10.7109375" style="3" hidden="1" customWidth="1"/>
    <col min="15" max="16" width="10.7109375" style="6" hidden="1" customWidth="1"/>
    <col min="17" max="22" width="10.7109375" style="6" customWidth="1"/>
    <col min="23" max="16384" width="9.140625" style="3" customWidth="1"/>
  </cols>
  <sheetData>
    <row r="1" spans="1:6" ht="20.25" hidden="1" thickBot="1">
      <c r="A1" s="237" t="s">
        <v>1122</v>
      </c>
      <c r="E1" s="2509"/>
      <c r="F1" s="2510"/>
    </row>
    <row r="2" spans="1:22" s="30" customFormat="1" ht="39.75" customHeight="1" thickTop="1">
      <c r="A2" s="2961"/>
      <c r="B2" s="2962"/>
      <c r="C2" s="360" t="s">
        <v>506</v>
      </c>
      <c r="D2" s="2112" t="s">
        <v>507</v>
      </c>
      <c r="E2" s="2965" t="s">
        <v>184</v>
      </c>
      <c r="F2" s="2966"/>
      <c r="G2" s="570" t="s">
        <v>510</v>
      </c>
      <c r="H2" s="473" t="s">
        <v>510</v>
      </c>
      <c r="I2" s="474" t="s">
        <v>87</v>
      </c>
      <c r="J2" s="474" t="s">
        <v>87</v>
      </c>
      <c r="K2" s="2871" t="s">
        <v>509</v>
      </c>
      <c r="L2" s="2871"/>
      <c r="M2" s="2871" t="s">
        <v>508</v>
      </c>
      <c r="N2" s="2871"/>
      <c r="O2" s="475" t="s">
        <v>952</v>
      </c>
      <c r="P2" s="767" t="s">
        <v>952</v>
      </c>
      <c r="Q2" s="2859" t="s">
        <v>183</v>
      </c>
      <c r="R2" s="2860"/>
      <c r="S2" s="2865" t="s">
        <v>725</v>
      </c>
      <c r="T2" s="2863"/>
      <c r="U2" s="2863" t="s">
        <v>726</v>
      </c>
      <c r="V2" s="2864"/>
    </row>
    <row r="3" spans="1:22" s="24" customFormat="1" ht="15" customHeight="1" thickBot="1">
      <c r="A3" s="2963"/>
      <c r="B3" s="2964"/>
      <c r="C3" s="347" t="s">
        <v>966</v>
      </c>
      <c r="D3" s="2304" t="s">
        <v>966</v>
      </c>
      <c r="E3" s="768" t="s">
        <v>435</v>
      </c>
      <c r="F3" s="307" t="s">
        <v>966</v>
      </c>
      <c r="G3" s="461" t="s">
        <v>435</v>
      </c>
      <c r="H3" s="346" t="s">
        <v>966</v>
      </c>
      <c r="I3" s="450" t="s">
        <v>435</v>
      </c>
      <c r="J3" s="450" t="s">
        <v>966</v>
      </c>
      <c r="K3" s="239" t="s">
        <v>435</v>
      </c>
      <c r="L3" s="239" t="s">
        <v>966</v>
      </c>
      <c r="M3" s="239" t="s">
        <v>435</v>
      </c>
      <c r="N3" s="239" t="s">
        <v>966</v>
      </c>
      <c r="O3" s="451" t="s">
        <v>435</v>
      </c>
      <c r="P3" s="765" t="s">
        <v>966</v>
      </c>
      <c r="Q3" s="238" t="s">
        <v>435</v>
      </c>
      <c r="R3" s="993" t="s">
        <v>966</v>
      </c>
      <c r="S3" s="2117" t="s">
        <v>435</v>
      </c>
      <c r="T3" s="239" t="s">
        <v>966</v>
      </c>
      <c r="U3" s="239" t="s">
        <v>435</v>
      </c>
      <c r="V3" s="307" t="s">
        <v>966</v>
      </c>
    </row>
    <row r="4" spans="1:22" s="30" customFormat="1" ht="19.5" customHeight="1">
      <c r="A4" s="182" t="s">
        <v>357</v>
      </c>
      <c r="B4" s="830" t="s">
        <v>1063</v>
      </c>
      <c r="C4" s="812">
        <f aca="true" t="shared" si="0" ref="C4:N4">C5+C9</f>
        <v>1474</v>
      </c>
      <c r="D4" s="2263">
        <f t="shared" si="0"/>
        <v>1840</v>
      </c>
      <c r="E4" s="850">
        <f t="shared" si="0"/>
        <v>41592</v>
      </c>
      <c r="F4" s="665">
        <f t="shared" si="0"/>
        <v>1253.0005919999999</v>
      </c>
      <c r="G4" s="530">
        <f t="shared" si="0"/>
        <v>137092</v>
      </c>
      <c r="H4" s="107">
        <f t="shared" si="0"/>
        <v>4130.033592</v>
      </c>
      <c r="I4" s="330">
        <f t="shared" si="0"/>
        <v>37510</v>
      </c>
      <c r="J4" s="330">
        <f t="shared" si="0"/>
        <v>1130.02626</v>
      </c>
      <c r="K4" s="330">
        <f t="shared" si="0"/>
        <v>41825</v>
      </c>
      <c r="L4" s="330">
        <f t="shared" si="0"/>
        <v>1260.01995</v>
      </c>
      <c r="M4" s="109">
        <f t="shared" si="0"/>
        <v>41825</v>
      </c>
      <c r="N4" s="109">
        <f t="shared" si="0"/>
        <v>1260.01995</v>
      </c>
      <c r="O4" s="330">
        <f aca="true" t="shared" si="1" ref="O4:V4">O5+O9</f>
        <v>37510</v>
      </c>
      <c r="P4" s="766">
        <f t="shared" si="1"/>
        <v>1130.02626</v>
      </c>
      <c r="Q4" s="468">
        <f t="shared" si="1"/>
        <v>37510</v>
      </c>
      <c r="R4" s="310">
        <f t="shared" si="1"/>
        <v>1130.02626</v>
      </c>
      <c r="S4" s="1362">
        <f t="shared" si="1"/>
        <v>37510</v>
      </c>
      <c r="T4" s="330">
        <f t="shared" si="1"/>
        <v>1130.02626</v>
      </c>
      <c r="U4" s="330">
        <f t="shared" si="1"/>
        <v>37510</v>
      </c>
      <c r="V4" s="478">
        <f t="shared" si="1"/>
        <v>1130.02626</v>
      </c>
    </row>
    <row r="5" spans="1:22" s="30" customFormat="1" ht="19.5" customHeight="1">
      <c r="A5" s="137" t="s">
        <v>1064</v>
      </c>
      <c r="B5" s="832" t="s">
        <v>965</v>
      </c>
      <c r="C5" s="813">
        <f>SUM(C6:C8)</f>
        <v>1154</v>
      </c>
      <c r="D5" s="2504">
        <f>SUM(D6:D8)</f>
        <v>1512</v>
      </c>
      <c r="E5" s="770">
        <f>SUM(E6:E8)</f>
        <v>41592</v>
      </c>
      <c r="F5" s="480">
        <f>SUM(F6:F8)</f>
        <v>1253.0005919999999</v>
      </c>
      <c r="G5" s="464">
        <f aca="true" t="shared" si="2" ref="G5:N5">SUM(G6:G8)</f>
        <v>37510</v>
      </c>
      <c r="H5" s="20">
        <f t="shared" si="2"/>
        <v>1130.02626</v>
      </c>
      <c r="I5" s="29">
        <f t="shared" si="2"/>
        <v>37510</v>
      </c>
      <c r="J5" s="29">
        <f t="shared" si="2"/>
        <v>1130.02626</v>
      </c>
      <c r="K5" s="29">
        <f t="shared" si="2"/>
        <v>35850</v>
      </c>
      <c r="L5" s="29">
        <f t="shared" si="2"/>
        <v>1080.0171</v>
      </c>
      <c r="M5" s="29">
        <f t="shared" si="2"/>
        <v>35850</v>
      </c>
      <c r="N5" s="29">
        <f t="shared" si="2"/>
        <v>1080.0171</v>
      </c>
      <c r="O5" s="29">
        <f>SUM(O6:O8)</f>
        <v>37510</v>
      </c>
      <c r="P5" s="456">
        <f>SUM(P6:P8)</f>
        <v>1130.02626</v>
      </c>
      <c r="Q5" s="20">
        <f>SUM(Q6:Q8)</f>
        <v>37510</v>
      </c>
      <c r="R5" s="18">
        <f>SUM(R6:R8)</f>
        <v>1130.02626</v>
      </c>
      <c r="S5" s="780">
        <v>37510</v>
      </c>
      <c r="T5" s="29">
        <f>S5*30.126/1000</f>
        <v>1130.02626</v>
      </c>
      <c r="U5" s="29">
        <v>37510</v>
      </c>
      <c r="V5" s="480">
        <f>U5*30.126/1000</f>
        <v>1130.02626</v>
      </c>
    </row>
    <row r="6" spans="1:22" s="6" customFormat="1" ht="15" customHeight="1">
      <c r="A6" s="212"/>
      <c r="B6" s="1352" t="s">
        <v>1066</v>
      </c>
      <c r="C6" s="1350">
        <v>808</v>
      </c>
      <c r="D6" s="2505">
        <v>1196</v>
      </c>
      <c r="E6" s="2429">
        <v>23335</v>
      </c>
      <c r="F6" s="1361">
        <f>(E6*30.126)/1000</f>
        <v>702.99021</v>
      </c>
      <c r="G6" s="2507">
        <v>23236</v>
      </c>
      <c r="H6" s="1359">
        <f>G6*30.126/1000</f>
        <v>700.007736</v>
      </c>
      <c r="I6" s="1360">
        <v>23236</v>
      </c>
      <c r="J6" s="1360">
        <f>I6*30.126/1000</f>
        <v>700.007736</v>
      </c>
      <c r="K6" s="1360">
        <v>23236</v>
      </c>
      <c r="L6" s="1360">
        <f>K6*30.126/1000</f>
        <v>700.007736</v>
      </c>
      <c r="M6" s="1360">
        <v>23236</v>
      </c>
      <c r="N6" s="1360">
        <f>M6*30.126/1000</f>
        <v>700.007736</v>
      </c>
      <c r="O6" s="1360">
        <v>23236</v>
      </c>
      <c r="P6" s="1783">
        <f>O6*30.126/1000</f>
        <v>700.007736</v>
      </c>
      <c r="Q6" s="1785">
        <v>23236</v>
      </c>
      <c r="R6" s="1358">
        <f>Q6*30.126/1000</f>
        <v>700.007736</v>
      </c>
      <c r="S6" s="2512"/>
      <c r="T6" s="1360"/>
      <c r="U6" s="1360"/>
      <c r="V6" s="1361"/>
    </row>
    <row r="7" spans="1:22" s="6" customFormat="1" ht="15" customHeight="1">
      <c r="A7" s="192"/>
      <c r="B7" s="1353" t="s">
        <v>1210</v>
      </c>
      <c r="C7" s="1351"/>
      <c r="D7" s="2506"/>
      <c r="E7" s="2433"/>
      <c r="F7" s="227"/>
      <c r="G7" s="563">
        <v>2656</v>
      </c>
      <c r="H7" s="361">
        <f>G7*30.126/1000</f>
        <v>80.014656</v>
      </c>
      <c r="I7" s="41">
        <v>2656</v>
      </c>
      <c r="J7" s="41">
        <f>I7*30.126/1000</f>
        <v>80.014656</v>
      </c>
      <c r="K7" s="41">
        <v>996</v>
      </c>
      <c r="L7" s="41">
        <f>K7*30.126/1000</f>
        <v>30.005496000000004</v>
      </c>
      <c r="M7" s="41">
        <v>996</v>
      </c>
      <c r="N7" s="41">
        <f>M7*30.126/1000</f>
        <v>30.005496000000004</v>
      </c>
      <c r="O7" s="41">
        <v>2656</v>
      </c>
      <c r="P7" s="1582">
        <f>O7*30.126/1000</f>
        <v>80.014656</v>
      </c>
      <c r="Q7" s="43">
        <v>2656</v>
      </c>
      <c r="R7" s="42">
        <f>Q7*30.126/1000</f>
        <v>80.014656</v>
      </c>
      <c r="S7" s="930"/>
      <c r="T7" s="41"/>
      <c r="U7" s="41"/>
      <c r="V7" s="227"/>
    </row>
    <row r="8" spans="1:22" s="6" customFormat="1" ht="15" customHeight="1" thickBot="1">
      <c r="A8" s="1464"/>
      <c r="B8" s="1354" t="s">
        <v>117</v>
      </c>
      <c r="C8" s="1335">
        <v>346</v>
      </c>
      <c r="D8" s="2492">
        <v>316</v>
      </c>
      <c r="E8" s="2511">
        <v>18257</v>
      </c>
      <c r="F8" s="1782">
        <f>(E8*30.126)/1000</f>
        <v>550.0103819999999</v>
      </c>
      <c r="G8" s="2508">
        <v>11618</v>
      </c>
      <c r="H8" s="1780">
        <f>G8*30.126/1000</f>
        <v>350.003868</v>
      </c>
      <c r="I8" s="1781">
        <v>11618</v>
      </c>
      <c r="J8" s="1781">
        <f>I8*30.126/1000</f>
        <v>350.003868</v>
      </c>
      <c r="K8" s="1781">
        <v>11618</v>
      </c>
      <c r="L8" s="1781">
        <f>K8*30.126/1000</f>
        <v>350.003868</v>
      </c>
      <c r="M8" s="1781">
        <v>11618</v>
      </c>
      <c r="N8" s="1781">
        <f>M8*30.126/1000</f>
        <v>350.003868</v>
      </c>
      <c r="O8" s="1781">
        <v>11618</v>
      </c>
      <c r="P8" s="1784">
        <f>O8*30.126/1000</f>
        <v>350.003868</v>
      </c>
      <c r="Q8" s="2514">
        <v>11618</v>
      </c>
      <c r="R8" s="1786">
        <f>Q8*30.126/1000</f>
        <v>350.003868</v>
      </c>
      <c r="S8" s="2513"/>
      <c r="T8" s="1781"/>
      <c r="U8" s="1781"/>
      <c r="V8" s="1782"/>
    </row>
    <row r="9" spans="1:22" s="30" customFormat="1" ht="19.5" customHeight="1" hidden="1">
      <c r="A9" s="1777" t="s">
        <v>1065</v>
      </c>
      <c r="B9" s="1778" t="s">
        <v>967</v>
      </c>
      <c r="C9" s="1458">
        <f>SUM(C10:C10)</f>
        <v>320</v>
      </c>
      <c r="D9" s="746">
        <f>SUM(D10:D10)</f>
        <v>328</v>
      </c>
      <c r="E9" s="62">
        <f>E10</f>
        <v>0</v>
      </c>
      <c r="F9" s="63">
        <f aca="true" t="shared" si="3" ref="F9:R9">F10</f>
        <v>0</v>
      </c>
      <c r="G9" s="1779">
        <f t="shared" si="3"/>
        <v>99582</v>
      </c>
      <c r="H9" s="62">
        <f t="shared" si="3"/>
        <v>3000.007332</v>
      </c>
      <c r="I9" s="589">
        <f t="shared" si="3"/>
        <v>0</v>
      </c>
      <c r="J9" s="589">
        <f t="shared" si="3"/>
        <v>0</v>
      </c>
      <c r="K9" s="589">
        <f t="shared" si="3"/>
        <v>5975</v>
      </c>
      <c r="L9" s="589">
        <f t="shared" si="3"/>
        <v>180.00285</v>
      </c>
      <c r="M9" s="589">
        <f t="shared" si="3"/>
        <v>5975</v>
      </c>
      <c r="N9" s="589">
        <f t="shared" si="3"/>
        <v>180.00285</v>
      </c>
      <c r="O9" s="589">
        <f t="shared" si="3"/>
        <v>0</v>
      </c>
      <c r="P9" s="752">
        <f t="shared" si="3"/>
        <v>0</v>
      </c>
      <c r="Q9" s="589">
        <f t="shared" si="3"/>
        <v>0</v>
      </c>
      <c r="R9" s="752">
        <f t="shared" si="3"/>
        <v>0</v>
      </c>
      <c r="S9" s="589">
        <v>0</v>
      </c>
      <c r="T9" s="752">
        <v>0</v>
      </c>
      <c r="U9" s="589">
        <v>0</v>
      </c>
      <c r="V9" s="752">
        <v>0</v>
      </c>
    </row>
    <row r="10" spans="1:22" s="26" customFormat="1" ht="15" customHeight="1" hidden="1" thickBot="1">
      <c r="A10" s="217"/>
      <c r="B10" s="1354" t="s">
        <v>1066</v>
      </c>
      <c r="C10" s="1335">
        <v>320</v>
      </c>
      <c r="D10" s="278">
        <v>328</v>
      </c>
      <c r="E10" s="1356"/>
      <c r="F10" s="1357"/>
      <c r="G10" s="693">
        <v>99582</v>
      </c>
      <c r="H10" s="695">
        <f>G10*30.126/1000</f>
        <v>3000.007332</v>
      </c>
      <c r="I10" s="218"/>
      <c r="J10" s="218"/>
      <c r="K10" s="218">
        <v>5975</v>
      </c>
      <c r="L10" s="218">
        <f>K10*30.126/1000</f>
        <v>180.00285</v>
      </c>
      <c r="M10" s="218">
        <v>5975</v>
      </c>
      <c r="N10" s="218">
        <f>M10*30.126/1000</f>
        <v>180.00285</v>
      </c>
      <c r="O10" s="218"/>
      <c r="P10" s="696"/>
      <c r="Q10" s="218"/>
      <c r="R10" s="696"/>
      <c r="S10" s="218"/>
      <c r="T10" s="696"/>
      <c r="U10" s="218"/>
      <c r="V10" s="696"/>
    </row>
    <row r="11" s="6" customFormat="1" ht="12.75">
      <c r="A11" s="16"/>
    </row>
  </sheetData>
  <sheetProtection/>
  <mergeCells count="7">
    <mergeCell ref="Q2:R2"/>
    <mergeCell ref="U2:V2"/>
    <mergeCell ref="M2:N2"/>
    <mergeCell ref="A2:B3"/>
    <mergeCell ref="K2:L2"/>
    <mergeCell ref="E2:F2"/>
    <mergeCell ref="S2:T2"/>
  </mergeCells>
  <printOptions horizontalCentered="1"/>
  <pageMargins left="0" right="0.7874015748031497" top="1.1811023622047245" bottom="0.1968503937007874" header="0" footer="0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V62"/>
  <sheetViews>
    <sheetView showGridLines="0" zoomScalePageLayoutView="0" workbookViewId="0" topLeftCell="A1">
      <pane xSplit="2" ySplit="3" topLeftCell="E41" activePane="bottomRight" state="frozen"/>
      <selection pane="topLeft" activeCell="D4" sqref="D4"/>
      <selection pane="topRight" activeCell="D4" sqref="D4"/>
      <selection pane="bottomLeft" activeCell="D4" sqref="D4"/>
      <selection pane="bottomRight" activeCell="B47" sqref="B47"/>
    </sheetView>
  </sheetViews>
  <sheetFormatPr defaultColWidth="9.140625" defaultRowHeight="12.75"/>
  <cols>
    <col min="1" max="1" width="7.7109375" style="87" customWidth="1"/>
    <col min="2" max="2" width="64.7109375" style="3" customWidth="1"/>
    <col min="3" max="4" width="10.7109375" style="291" hidden="1" customWidth="1"/>
    <col min="5" max="6" width="10.7109375" style="4" customWidth="1"/>
    <col min="7" max="16" width="10.7109375" style="4" hidden="1" customWidth="1"/>
    <col min="17" max="22" width="10.7109375" style="4" customWidth="1"/>
    <col min="23" max="16384" width="9.140625" style="3" customWidth="1"/>
  </cols>
  <sheetData>
    <row r="1" spans="1:18" ht="21" hidden="1" thickBot="1" thickTop="1">
      <c r="A1" s="237" t="s">
        <v>1122</v>
      </c>
      <c r="Q1" s="2501"/>
      <c r="R1" s="2502"/>
    </row>
    <row r="2" spans="1:22" s="30" customFormat="1" ht="39.75" customHeight="1">
      <c r="A2" s="2961"/>
      <c r="B2" s="2962"/>
      <c r="C2" s="360" t="s">
        <v>506</v>
      </c>
      <c r="D2" s="2112" t="s">
        <v>507</v>
      </c>
      <c r="E2" s="2890" t="s">
        <v>184</v>
      </c>
      <c r="F2" s="2891"/>
      <c r="G2" s="570" t="s">
        <v>510</v>
      </c>
      <c r="H2" s="473" t="s">
        <v>510</v>
      </c>
      <c r="I2" s="474" t="s">
        <v>87</v>
      </c>
      <c r="J2" s="474" t="s">
        <v>87</v>
      </c>
      <c r="K2" s="2871" t="s">
        <v>509</v>
      </c>
      <c r="L2" s="2871"/>
      <c r="M2" s="2871" t="s">
        <v>508</v>
      </c>
      <c r="N2" s="2871"/>
      <c r="O2" s="475" t="s">
        <v>952</v>
      </c>
      <c r="P2" s="767" t="s">
        <v>952</v>
      </c>
      <c r="Q2" s="2861" t="s">
        <v>183</v>
      </c>
      <c r="R2" s="2959"/>
      <c r="S2" s="2865" t="s">
        <v>725</v>
      </c>
      <c r="T2" s="2863"/>
      <c r="U2" s="2863" t="s">
        <v>726</v>
      </c>
      <c r="V2" s="2864"/>
    </row>
    <row r="3" spans="1:22" s="24" customFormat="1" ht="15" customHeight="1" thickBot="1">
      <c r="A3" s="2963"/>
      <c r="B3" s="2964"/>
      <c r="C3" s="347" t="s">
        <v>966</v>
      </c>
      <c r="D3" s="2304" t="s">
        <v>966</v>
      </c>
      <c r="E3" s="768" t="s">
        <v>435</v>
      </c>
      <c r="F3" s="307" t="s">
        <v>966</v>
      </c>
      <c r="G3" s="461" t="s">
        <v>435</v>
      </c>
      <c r="H3" s="346" t="s">
        <v>966</v>
      </c>
      <c r="I3" s="450" t="s">
        <v>435</v>
      </c>
      <c r="J3" s="450" t="s">
        <v>966</v>
      </c>
      <c r="K3" s="239" t="s">
        <v>435</v>
      </c>
      <c r="L3" s="239" t="s">
        <v>966</v>
      </c>
      <c r="M3" s="239" t="s">
        <v>435</v>
      </c>
      <c r="N3" s="239" t="s">
        <v>966</v>
      </c>
      <c r="O3" s="451" t="s">
        <v>435</v>
      </c>
      <c r="P3" s="765" t="s">
        <v>966</v>
      </c>
      <c r="Q3" s="238" t="s">
        <v>435</v>
      </c>
      <c r="R3" s="993" t="s">
        <v>966</v>
      </c>
      <c r="S3" s="2117" t="s">
        <v>435</v>
      </c>
      <c r="T3" s="239" t="s">
        <v>966</v>
      </c>
      <c r="U3" s="239" t="s">
        <v>435</v>
      </c>
      <c r="V3" s="307" t="s">
        <v>966</v>
      </c>
    </row>
    <row r="4" spans="1:22" s="85" customFormat="1" ht="19.5" customHeight="1">
      <c r="A4" s="182" t="s">
        <v>358</v>
      </c>
      <c r="B4" s="830" t="s">
        <v>834</v>
      </c>
      <c r="C4" s="1362">
        <f aca="true" t="shared" si="0" ref="C4:N4">C5+C21</f>
        <v>18701</v>
      </c>
      <c r="D4" s="766">
        <f t="shared" si="0"/>
        <v>27431</v>
      </c>
      <c r="E4" s="850">
        <f t="shared" si="0"/>
        <v>783044</v>
      </c>
      <c r="F4" s="665">
        <f t="shared" si="0"/>
        <v>23589.983544</v>
      </c>
      <c r="G4" s="530">
        <f t="shared" si="0"/>
        <v>761750</v>
      </c>
      <c r="H4" s="107">
        <f t="shared" si="0"/>
        <v>22948.480499999998</v>
      </c>
      <c r="I4" s="109">
        <f t="shared" si="0"/>
        <v>761750</v>
      </c>
      <c r="J4" s="109">
        <f t="shared" si="0"/>
        <v>22948.480499999998</v>
      </c>
      <c r="K4" s="109">
        <f t="shared" si="0"/>
        <v>720100</v>
      </c>
      <c r="L4" s="109">
        <f t="shared" si="0"/>
        <v>21693.7326</v>
      </c>
      <c r="M4" s="109">
        <f t="shared" si="0"/>
        <v>720100</v>
      </c>
      <c r="N4" s="109">
        <f t="shared" si="0"/>
        <v>21693.7326</v>
      </c>
      <c r="O4" s="109">
        <f aca="true" t="shared" si="1" ref="O4:V4">O5+O21</f>
        <v>761750</v>
      </c>
      <c r="P4" s="454">
        <f t="shared" si="1"/>
        <v>22948.480499999998</v>
      </c>
      <c r="Q4" s="107">
        <f t="shared" si="1"/>
        <v>717644</v>
      </c>
      <c r="R4" s="108">
        <f t="shared" si="1"/>
        <v>21619.743144</v>
      </c>
      <c r="S4" s="778">
        <f t="shared" si="1"/>
        <v>717644</v>
      </c>
      <c r="T4" s="109">
        <f t="shared" si="1"/>
        <v>21619.743144</v>
      </c>
      <c r="U4" s="109">
        <f t="shared" si="1"/>
        <v>717644</v>
      </c>
      <c r="V4" s="665">
        <f t="shared" si="1"/>
        <v>21619.743144</v>
      </c>
    </row>
    <row r="5" spans="1:22" s="71" customFormat="1" ht="19.5" customHeight="1">
      <c r="A5" s="137" t="s">
        <v>835</v>
      </c>
      <c r="B5" s="832" t="s">
        <v>965</v>
      </c>
      <c r="C5" s="780">
        <f>C6+C7+C12+C13+C14+C15+C20</f>
        <v>8272</v>
      </c>
      <c r="D5" s="456">
        <f aca="true" t="shared" si="2" ref="D5:N5">D6+D7+D12+D13+D14+D15+D20</f>
        <v>16830</v>
      </c>
      <c r="E5" s="770">
        <f t="shared" si="2"/>
        <v>773644</v>
      </c>
      <c r="F5" s="480">
        <f t="shared" si="2"/>
        <v>23306.799144</v>
      </c>
      <c r="G5" s="464">
        <f>G6+G7+G12+G13+G14+G15+G20</f>
        <v>761750</v>
      </c>
      <c r="H5" s="20">
        <f t="shared" si="2"/>
        <v>22948.480499999998</v>
      </c>
      <c r="I5" s="29">
        <f t="shared" si="2"/>
        <v>761750</v>
      </c>
      <c r="J5" s="29">
        <f t="shared" si="2"/>
        <v>22948.480499999998</v>
      </c>
      <c r="K5" s="29">
        <f t="shared" si="2"/>
        <v>720100</v>
      </c>
      <c r="L5" s="29">
        <f t="shared" si="2"/>
        <v>21693.7326</v>
      </c>
      <c r="M5" s="29">
        <f t="shared" si="2"/>
        <v>720100</v>
      </c>
      <c r="N5" s="29">
        <f t="shared" si="2"/>
        <v>21693.7326</v>
      </c>
      <c r="O5" s="29">
        <f>O6+O7+O12+O13+O14+O15+O20</f>
        <v>761750</v>
      </c>
      <c r="P5" s="456">
        <f>P6+P7+P12+P13+P14+P15+P20</f>
        <v>22948.480499999998</v>
      </c>
      <c r="Q5" s="20">
        <f>Q6+Q7+Q12+Q13+Q14+Q15+Q20</f>
        <v>717644</v>
      </c>
      <c r="R5" s="18">
        <f>R6+R7+R12+R13+R14+R15+R20</f>
        <v>21619.743144</v>
      </c>
      <c r="S5" s="780">
        <v>717644</v>
      </c>
      <c r="T5" s="29">
        <f>S5*30.126/1000</f>
        <v>21619.743144</v>
      </c>
      <c r="U5" s="29">
        <v>717644</v>
      </c>
      <c r="V5" s="480">
        <f>U5*30.126/1000</f>
        <v>21619.743144</v>
      </c>
    </row>
    <row r="6" spans="1:22" s="26" customFormat="1" ht="15" customHeight="1" hidden="1">
      <c r="A6" s="212"/>
      <c r="B6" s="1363" t="s">
        <v>836</v>
      </c>
      <c r="C6" s="783">
        <v>449</v>
      </c>
      <c r="D6" s="458">
        <v>88</v>
      </c>
      <c r="E6" s="2493"/>
      <c r="F6" s="2494"/>
      <c r="G6" s="615"/>
      <c r="H6" s="448"/>
      <c r="I6" s="14"/>
      <c r="J6" s="14"/>
      <c r="K6" s="14"/>
      <c r="L6" s="14"/>
      <c r="M6" s="14"/>
      <c r="N6" s="14"/>
      <c r="O6" s="14"/>
      <c r="P6" s="1528"/>
      <c r="Q6" s="38"/>
      <c r="R6" s="39"/>
      <c r="S6" s="855"/>
      <c r="T6" s="14"/>
      <c r="U6" s="14"/>
      <c r="V6" s="207"/>
    </row>
    <row r="7" spans="1:22" s="26" customFormat="1" ht="15" customHeight="1">
      <c r="A7" s="219"/>
      <c r="B7" s="1363" t="s">
        <v>837</v>
      </c>
      <c r="C7" s="783">
        <v>705</v>
      </c>
      <c r="D7" s="458">
        <f>SUM(D8:D11)</f>
        <v>2574</v>
      </c>
      <c r="E7" s="861">
        <f>SUM(E8:E11)</f>
        <v>63627</v>
      </c>
      <c r="F7" s="207">
        <f>SUM(F8:F11)</f>
        <v>1916.827002</v>
      </c>
      <c r="G7" s="615">
        <v>41650</v>
      </c>
      <c r="H7" s="448">
        <f>G7*30.126/1000</f>
        <v>1254.7479</v>
      </c>
      <c r="I7" s="14">
        <v>41650</v>
      </c>
      <c r="J7" s="9">
        <f>I7*30.126/1000</f>
        <v>1254.7479</v>
      </c>
      <c r="K7" s="14"/>
      <c r="L7" s="14"/>
      <c r="M7" s="14"/>
      <c r="N7" s="14"/>
      <c r="O7" s="14">
        <v>41650</v>
      </c>
      <c r="P7" s="382">
        <f>O7*30.126/1000</f>
        <v>1254.7479</v>
      </c>
      <c r="Q7" s="38">
        <v>41650</v>
      </c>
      <c r="R7" s="8">
        <f>Q7*30.126/1000</f>
        <v>1254.7479</v>
      </c>
      <c r="S7" s="855"/>
      <c r="T7" s="9"/>
      <c r="U7" s="14"/>
      <c r="V7" s="139"/>
    </row>
    <row r="8" spans="1:22" s="26" customFormat="1" ht="15" customHeight="1">
      <c r="A8" s="219"/>
      <c r="B8" s="834" t="s">
        <v>853</v>
      </c>
      <c r="C8" s="783"/>
      <c r="D8" s="458">
        <v>2380</v>
      </c>
      <c r="E8" s="861">
        <v>43702</v>
      </c>
      <c r="F8" s="207">
        <f>(E8*30.126)/1000</f>
        <v>1316.566452</v>
      </c>
      <c r="G8" s="615"/>
      <c r="H8" s="448"/>
      <c r="I8" s="14"/>
      <c r="J8" s="14"/>
      <c r="K8" s="14"/>
      <c r="L8" s="14"/>
      <c r="M8" s="14"/>
      <c r="N8" s="14"/>
      <c r="O8" s="14"/>
      <c r="P8" s="1528"/>
      <c r="Q8" s="38"/>
      <c r="R8" s="39"/>
      <c r="S8" s="855"/>
      <c r="T8" s="14"/>
      <c r="U8" s="14"/>
      <c r="V8" s="207"/>
    </row>
    <row r="9" spans="1:22" s="26" customFormat="1" ht="15" customHeight="1" hidden="1">
      <c r="A9" s="219"/>
      <c r="B9" s="834" t="s">
        <v>609</v>
      </c>
      <c r="C9" s="783"/>
      <c r="D9" s="458">
        <v>194</v>
      </c>
      <c r="E9" s="861"/>
      <c r="F9" s="207">
        <f>(E9*30.126)/1000</f>
        <v>0</v>
      </c>
      <c r="G9" s="615"/>
      <c r="H9" s="448"/>
      <c r="I9" s="14"/>
      <c r="J9" s="14"/>
      <c r="K9" s="14"/>
      <c r="L9" s="14"/>
      <c r="M9" s="14"/>
      <c r="N9" s="14"/>
      <c r="O9" s="14"/>
      <c r="P9" s="1528"/>
      <c r="Q9" s="38"/>
      <c r="R9" s="39"/>
      <c r="S9" s="855"/>
      <c r="T9" s="14"/>
      <c r="U9" s="14"/>
      <c r="V9" s="207"/>
    </row>
    <row r="10" spans="1:22" s="26" customFormat="1" ht="15" customHeight="1">
      <c r="A10" s="219"/>
      <c r="B10" s="834" t="s">
        <v>854</v>
      </c>
      <c r="C10" s="783"/>
      <c r="D10" s="458"/>
      <c r="E10" s="861">
        <v>9958</v>
      </c>
      <c r="F10" s="207">
        <f>(E10*30.126)/1000</f>
        <v>299.994708</v>
      </c>
      <c r="G10" s="615"/>
      <c r="H10" s="448"/>
      <c r="I10" s="14"/>
      <c r="J10" s="14"/>
      <c r="K10" s="14"/>
      <c r="L10" s="14"/>
      <c r="M10" s="14"/>
      <c r="N10" s="14"/>
      <c r="O10" s="14"/>
      <c r="P10" s="1528"/>
      <c r="Q10" s="38"/>
      <c r="R10" s="39"/>
      <c r="S10" s="855"/>
      <c r="T10" s="14"/>
      <c r="U10" s="14"/>
      <c r="V10" s="207"/>
    </row>
    <row r="11" spans="1:22" s="26" customFormat="1" ht="15" customHeight="1">
      <c r="A11" s="219"/>
      <c r="B11" s="834" t="s">
        <v>855</v>
      </c>
      <c r="C11" s="783"/>
      <c r="D11" s="458"/>
      <c r="E11" s="861">
        <v>9967</v>
      </c>
      <c r="F11" s="207">
        <f>(E11*30.126)/1000</f>
        <v>300.265842</v>
      </c>
      <c r="G11" s="615"/>
      <c r="H11" s="448"/>
      <c r="I11" s="14"/>
      <c r="J11" s="14"/>
      <c r="K11" s="14"/>
      <c r="L11" s="14"/>
      <c r="M11" s="14"/>
      <c r="N11" s="14"/>
      <c r="O11" s="14"/>
      <c r="P11" s="1528"/>
      <c r="Q11" s="38"/>
      <c r="R11" s="39"/>
      <c r="S11" s="855"/>
      <c r="T11" s="14"/>
      <c r="U11" s="14"/>
      <c r="V11" s="207"/>
    </row>
    <row r="12" spans="1:22" s="26" customFormat="1" ht="15" customHeight="1" hidden="1">
      <c r="A12" s="219"/>
      <c r="B12" s="1363" t="s">
        <v>847</v>
      </c>
      <c r="C12" s="783">
        <v>1324</v>
      </c>
      <c r="D12" s="458">
        <v>635</v>
      </c>
      <c r="E12" s="861"/>
      <c r="F12" s="207"/>
      <c r="G12" s="615"/>
      <c r="H12" s="448"/>
      <c r="I12" s="14"/>
      <c r="J12" s="14"/>
      <c r="K12" s="14"/>
      <c r="L12" s="14"/>
      <c r="M12" s="14"/>
      <c r="N12" s="14"/>
      <c r="O12" s="14"/>
      <c r="P12" s="1528"/>
      <c r="Q12" s="38"/>
      <c r="R12" s="39"/>
      <c r="S12" s="855"/>
      <c r="T12" s="14"/>
      <c r="U12" s="14"/>
      <c r="V12" s="207"/>
    </row>
    <row r="13" spans="1:22" s="26" customFormat="1" ht="15" customHeight="1" hidden="1">
      <c r="A13" s="219"/>
      <c r="B13" s="1363" t="s">
        <v>848</v>
      </c>
      <c r="C13" s="783">
        <v>1710</v>
      </c>
      <c r="D13" s="458">
        <v>613</v>
      </c>
      <c r="E13" s="861"/>
      <c r="F13" s="207"/>
      <c r="G13" s="615"/>
      <c r="H13" s="448"/>
      <c r="I13" s="14"/>
      <c r="J13" s="14"/>
      <c r="K13" s="14"/>
      <c r="L13" s="14"/>
      <c r="M13" s="14"/>
      <c r="N13" s="14"/>
      <c r="O13" s="14"/>
      <c r="P13" s="1528"/>
      <c r="Q13" s="38"/>
      <c r="R13" s="39"/>
      <c r="S13" s="855"/>
      <c r="T13" s="14"/>
      <c r="U13" s="14"/>
      <c r="V13" s="207"/>
    </row>
    <row r="14" spans="1:22" s="26" customFormat="1" ht="15" customHeight="1">
      <c r="A14" s="219"/>
      <c r="B14" s="1363" t="s">
        <v>838</v>
      </c>
      <c r="C14" s="783">
        <v>350</v>
      </c>
      <c r="D14" s="458">
        <v>216</v>
      </c>
      <c r="E14" s="861">
        <v>4149</v>
      </c>
      <c r="F14" s="207">
        <f>(E14*30.126)/1000</f>
        <v>124.99277400000001</v>
      </c>
      <c r="G14" s="615">
        <v>4149</v>
      </c>
      <c r="H14" s="448">
        <f>G14*30.126/1000</f>
        <v>124.99277400000001</v>
      </c>
      <c r="I14" s="14">
        <v>4149</v>
      </c>
      <c r="J14" s="9">
        <f>I14*30.126/1000</f>
        <v>124.99277400000001</v>
      </c>
      <c r="K14" s="14">
        <v>4149</v>
      </c>
      <c r="L14" s="14">
        <f>K14*30.126/1000</f>
        <v>124.99277400000001</v>
      </c>
      <c r="M14" s="14">
        <v>4149</v>
      </c>
      <c r="N14" s="14">
        <f>M14*30.126/1000</f>
        <v>124.99277400000001</v>
      </c>
      <c r="O14" s="14">
        <v>4149</v>
      </c>
      <c r="P14" s="382">
        <f>O14*30.126/1000</f>
        <v>124.99277400000001</v>
      </c>
      <c r="Q14" s="38">
        <v>4149</v>
      </c>
      <c r="R14" s="8">
        <f>Q14*30.126/1000</f>
        <v>124.99277400000001</v>
      </c>
      <c r="S14" s="855"/>
      <c r="T14" s="9"/>
      <c r="U14" s="14"/>
      <c r="V14" s="139"/>
    </row>
    <row r="15" spans="1:22" s="26" customFormat="1" ht="15" customHeight="1">
      <c r="A15" s="219"/>
      <c r="B15" s="1363" t="s">
        <v>839</v>
      </c>
      <c r="C15" s="783">
        <f>SUM(C16:C19)</f>
        <v>3034</v>
      </c>
      <c r="D15" s="458">
        <f>SUM(D16:D19)</f>
        <v>2866</v>
      </c>
      <c r="E15" s="861">
        <f>SUM(E16:E19)</f>
        <v>90951</v>
      </c>
      <c r="F15" s="207">
        <f>SUM(F16:F19)</f>
        <v>2739.989826</v>
      </c>
      <c r="G15" s="615">
        <f aca="true" t="shared" si="3" ref="G15:N15">SUM(G16:G19)</f>
        <v>90951</v>
      </c>
      <c r="H15" s="448">
        <f t="shared" si="3"/>
        <v>2739.989826</v>
      </c>
      <c r="I15" s="14">
        <f t="shared" si="3"/>
        <v>90951</v>
      </c>
      <c r="J15" s="14">
        <f t="shared" si="3"/>
        <v>2739.989826</v>
      </c>
      <c r="K15" s="14">
        <f t="shared" si="3"/>
        <v>90951</v>
      </c>
      <c r="L15" s="14">
        <f t="shared" si="3"/>
        <v>2739.989826</v>
      </c>
      <c r="M15" s="14">
        <f t="shared" si="3"/>
        <v>90951</v>
      </c>
      <c r="N15" s="14">
        <f t="shared" si="3"/>
        <v>2739.989826</v>
      </c>
      <c r="O15" s="14">
        <f>SUM(O16:O19)</f>
        <v>90951</v>
      </c>
      <c r="P15" s="1528">
        <f>SUM(P16:P19)</f>
        <v>2739.989826</v>
      </c>
      <c r="Q15" s="38">
        <f>SUM(Q16:Q19)</f>
        <v>90951</v>
      </c>
      <c r="R15" s="39">
        <f>SUM(R16:R19)</f>
        <v>2739.989826</v>
      </c>
      <c r="S15" s="855"/>
      <c r="T15" s="14"/>
      <c r="U15" s="14"/>
      <c r="V15" s="207"/>
    </row>
    <row r="16" spans="1:22" s="26" customFormat="1" ht="15" customHeight="1">
      <c r="A16" s="219"/>
      <c r="B16" s="834" t="s">
        <v>849</v>
      </c>
      <c r="C16" s="883">
        <v>1086</v>
      </c>
      <c r="D16" s="2305">
        <v>1053</v>
      </c>
      <c r="E16" s="861">
        <v>30538</v>
      </c>
      <c r="F16" s="207">
        <f>(E16*30.126)/1000</f>
        <v>919.987788</v>
      </c>
      <c r="G16" s="615">
        <v>30538</v>
      </c>
      <c r="H16" s="448">
        <f>G16*30.126/1000</f>
        <v>919.987788</v>
      </c>
      <c r="I16" s="14">
        <v>30538</v>
      </c>
      <c r="J16" s="9">
        <f>I16*30.126/1000</f>
        <v>919.987788</v>
      </c>
      <c r="K16" s="14">
        <v>30538</v>
      </c>
      <c r="L16" s="14">
        <f>K16*30.126/1000</f>
        <v>919.987788</v>
      </c>
      <c r="M16" s="14">
        <v>30538</v>
      </c>
      <c r="N16" s="14">
        <f>M16*30.126/1000</f>
        <v>919.987788</v>
      </c>
      <c r="O16" s="14">
        <v>30538</v>
      </c>
      <c r="P16" s="382">
        <f>O16*30.126/1000</f>
        <v>919.987788</v>
      </c>
      <c r="Q16" s="38">
        <v>30538</v>
      </c>
      <c r="R16" s="8">
        <f>Q16*30.126/1000</f>
        <v>919.987788</v>
      </c>
      <c r="S16" s="855"/>
      <c r="T16" s="9"/>
      <c r="U16" s="14"/>
      <c r="V16" s="139"/>
    </row>
    <row r="17" spans="1:22" s="26" customFormat="1" ht="15" customHeight="1">
      <c r="A17" s="219"/>
      <c r="B17" s="834" t="s">
        <v>850</v>
      </c>
      <c r="C17" s="883">
        <v>1829</v>
      </c>
      <c r="D17" s="2305">
        <v>1749</v>
      </c>
      <c r="E17" s="861">
        <v>58421</v>
      </c>
      <c r="F17" s="207">
        <f>(E17*30.126)/1000</f>
        <v>1759.991046</v>
      </c>
      <c r="G17" s="615">
        <v>58421</v>
      </c>
      <c r="H17" s="448">
        <f>G17*30.126/1000</f>
        <v>1759.991046</v>
      </c>
      <c r="I17" s="14">
        <v>58421</v>
      </c>
      <c r="J17" s="9">
        <f>I17*30.126/1000</f>
        <v>1759.991046</v>
      </c>
      <c r="K17" s="14">
        <v>58421</v>
      </c>
      <c r="L17" s="14">
        <f>K17*30.126/1000</f>
        <v>1759.991046</v>
      </c>
      <c r="M17" s="14">
        <v>58421</v>
      </c>
      <c r="N17" s="14">
        <f>M17*30.126/1000</f>
        <v>1759.991046</v>
      </c>
      <c r="O17" s="14">
        <v>58421</v>
      </c>
      <c r="P17" s="382">
        <f>O17*30.126/1000</f>
        <v>1759.991046</v>
      </c>
      <c r="Q17" s="38">
        <v>58421</v>
      </c>
      <c r="R17" s="8">
        <f>Q17*30.126/1000</f>
        <v>1759.991046</v>
      </c>
      <c r="S17" s="855"/>
      <c r="T17" s="9"/>
      <c r="U17" s="14"/>
      <c r="V17" s="139"/>
    </row>
    <row r="18" spans="1:22" s="26" customFormat="1" ht="15" customHeight="1">
      <c r="A18" s="219"/>
      <c r="B18" s="834" t="s">
        <v>851</v>
      </c>
      <c r="C18" s="883">
        <v>19</v>
      </c>
      <c r="D18" s="2305">
        <v>60</v>
      </c>
      <c r="E18" s="861">
        <v>1992</v>
      </c>
      <c r="F18" s="207">
        <f>(E18*30.126)/1000</f>
        <v>60.01099200000001</v>
      </c>
      <c r="G18" s="615">
        <v>1992</v>
      </c>
      <c r="H18" s="448">
        <f>G18*30.126/1000</f>
        <v>60.01099200000001</v>
      </c>
      <c r="I18" s="14">
        <v>1992</v>
      </c>
      <c r="J18" s="9">
        <f>I18*30.126/1000</f>
        <v>60.01099200000001</v>
      </c>
      <c r="K18" s="14">
        <v>1992</v>
      </c>
      <c r="L18" s="14">
        <f>K18*30.126/1000</f>
        <v>60.01099200000001</v>
      </c>
      <c r="M18" s="14">
        <v>1992</v>
      </c>
      <c r="N18" s="14">
        <f>M18*30.126/1000</f>
        <v>60.01099200000001</v>
      </c>
      <c r="O18" s="14">
        <v>1992</v>
      </c>
      <c r="P18" s="382">
        <f>O18*30.126/1000</f>
        <v>60.01099200000001</v>
      </c>
      <c r="Q18" s="38">
        <v>1992</v>
      </c>
      <c r="R18" s="8">
        <f>Q18*30.126/1000</f>
        <v>60.01099200000001</v>
      </c>
      <c r="S18" s="855"/>
      <c r="T18" s="9"/>
      <c r="U18" s="14"/>
      <c r="V18" s="139"/>
    </row>
    <row r="19" spans="1:22" s="26" customFormat="1" ht="15" customHeight="1" hidden="1">
      <c r="A19" s="219"/>
      <c r="B19" s="834" t="s">
        <v>852</v>
      </c>
      <c r="C19" s="883">
        <v>100</v>
      </c>
      <c r="D19" s="2305">
        <v>4</v>
      </c>
      <c r="E19" s="861"/>
      <c r="F19" s="207"/>
      <c r="G19" s="615"/>
      <c r="H19" s="448"/>
      <c r="I19" s="14"/>
      <c r="J19" s="9">
        <f>I19*30.126/1000</f>
        <v>0</v>
      </c>
      <c r="K19" s="14"/>
      <c r="L19" s="14"/>
      <c r="M19" s="14"/>
      <c r="N19" s="14"/>
      <c r="O19" s="14"/>
      <c r="P19" s="382">
        <f>O19*30.126/1000</f>
        <v>0</v>
      </c>
      <c r="Q19" s="38"/>
      <c r="R19" s="8">
        <f>Q19*30.126/1000</f>
        <v>0</v>
      </c>
      <c r="S19" s="855"/>
      <c r="T19" s="9"/>
      <c r="U19" s="14"/>
      <c r="V19" s="139"/>
    </row>
    <row r="20" spans="1:22" s="26" customFormat="1" ht="15" customHeight="1">
      <c r="A20" s="220"/>
      <c r="B20" s="1363" t="s">
        <v>840</v>
      </c>
      <c r="C20" s="783">
        <v>700</v>
      </c>
      <c r="D20" s="458">
        <v>9838</v>
      </c>
      <c r="E20" s="861">
        <v>614917</v>
      </c>
      <c r="F20" s="207">
        <f>(E20*30.126)/1000</f>
        <v>18524.989542</v>
      </c>
      <c r="G20" s="615">
        <v>625000</v>
      </c>
      <c r="H20" s="448">
        <f>G20*30.126/1000</f>
        <v>18828.75</v>
      </c>
      <c r="I20" s="14">
        <v>625000</v>
      </c>
      <c r="J20" s="9">
        <f>I20*30.126/1000</f>
        <v>18828.75</v>
      </c>
      <c r="K20" s="14">
        <v>625000</v>
      </c>
      <c r="L20" s="14">
        <f>K20*30.126/1000</f>
        <v>18828.75</v>
      </c>
      <c r="M20" s="14">
        <v>625000</v>
      </c>
      <c r="N20" s="14">
        <f>M20*30.126/1000</f>
        <v>18828.75</v>
      </c>
      <c r="O20" s="14">
        <v>625000</v>
      </c>
      <c r="P20" s="382">
        <f>O20*30.126/1000</f>
        <v>18828.75</v>
      </c>
      <c r="Q20" s="38">
        <v>580894</v>
      </c>
      <c r="R20" s="8">
        <f>Q20*30.126/1000</f>
        <v>17500.012644000002</v>
      </c>
      <c r="S20" s="855"/>
      <c r="T20" s="9"/>
      <c r="U20" s="14"/>
      <c r="V20" s="139"/>
    </row>
    <row r="21" spans="1:22" s="71" customFormat="1" ht="19.5" customHeight="1">
      <c r="A21" s="137" t="s">
        <v>841</v>
      </c>
      <c r="B21" s="832" t="s">
        <v>967</v>
      </c>
      <c r="C21" s="780">
        <f>C22+C23+C26+C30+C31</f>
        <v>10429</v>
      </c>
      <c r="D21" s="456">
        <f aca="true" t="shared" si="4" ref="D21:N21">D22+D23+D26+D30+D31</f>
        <v>10601</v>
      </c>
      <c r="E21" s="770">
        <f t="shared" si="4"/>
        <v>9400</v>
      </c>
      <c r="F21" s="480">
        <f t="shared" si="4"/>
        <v>283.1844</v>
      </c>
      <c r="G21" s="464">
        <f t="shared" si="4"/>
        <v>0</v>
      </c>
      <c r="H21" s="20">
        <f t="shared" si="4"/>
        <v>0</v>
      </c>
      <c r="I21" s="29">
        <f t="shared" si="4"/>
        <v>0</v>
      </c>
      <c r="J21" s="29">
        <f t="shared" si="4"/>
        <v>0</v>
      </c>
      <c r="K21" s="29">
        <f t="shared" si="4"/>
        <v>0</v>
      </c>
      <c r="L21" s="29">
        <f t="shared" si="4"/>
        <v>0</v>
      </c>
      <c r="M21" s="29">
        <f t="shared" si="4"/>
        <v>0</v>
      </c>
      <c r="N21" s="29">
        <f t="shared" si="4"/>
        <v>0</v>
      </c>
      <c r="O21" s="29">
        <f>O22+O23+O26+O30+O31</f>
        <v>0</v>
      </c>
      <c r="P21" s="456">
        <f>P22+P23+P26+P30+P31</f>
        <v>0</v>
      </c>
      <c r="Q21" s="20">
        <f>Q22+Q23+Q26+Q30+Q31</f>
        <v>0</v>
      </c>
      <c r="R21" s="18">
        <f>R22+R23+R26+R30+R31</f>
        <v>0</v>
      </c>
      <c r="S21" s="780">
        <v>0</v>
      </c>
      <c r="T21" s="29">
        <v>0</v>
      </c>
      <c r="U21" s="29">
        <v>0</v>
      </c>
      <c r="V21" s="480">
        <v>0</v>
      </c>
    </row>
    <row r="22" spans="1:22" s="26" customFormat="1" ht="15" customHeight="1" hidden="1">
      <c r="A22" s="212"/>
      <c r="B22" s="1363" t="s">
        <v>836</v>
      </c>
      <c r="C22" s="783">
        <f>1507+549+541</f>
        <v>2597</v>
      </c>
      <c r="D22" s="458">
        <v>447</v>
      </c>
      <c r="E22" s="2493"/>
      <c r="F22" s="2494"/>
      <c r="G22" s="615"/>
      <c r="H22" s="448"/>
      <c r="I22" s="14"/>
      <c r="J22" s="14"/>
      <c r="K22" s="14"/>
      <c r="L22" s="14"/>
      <c r="M22" s="14"/>
      <c r="N22" s="14"/>
      <c r="O22" s="14"/>
      <c r="P22" s="1528"/>
      <c r="Q22" s="38"/>
      <c r="R22" s="39"/>
      <c r="S22" s="855"/>
      <c r="T22" s="14"/>
      <c r="U22" s="14"/>
      <c r="V22" s="207"/>
    </row>
    <row r="23" spans="1:22" s="26" customFormat="1" ht="15" customHeight="1">
      <c r="A23" s="219"/>
      <c r="B23" s="1363" t="s">
        <v>837</v>
      </c>
      <c r="C23" s="783">
        <v>1945</v>
      </c>
      <c r="D23" s="458">
        <v>474</v>
      </c>
      <c r="E23" s="861">
        <f>SUM(E24:E25)</f>
        <v>9400</v>
      </c>
      <c r="F23" s="207">
        <f>SUM(F24:F25)</f>
        <v>283.1844</v>
      </c>
      <c r="G23" s="615"/>
      <c r="H23" s="448"/>
      <c r="I23" s="14"/>
      <c r="J23" s="14"/>
      <c r="K23" s="14"/>
      <c r="L23" s="14"/>
      <c r="M23" s="14"/>
      <c r="N23" s="14"/>
      <c r="O23" s="14"/>
      <c r="P23" s="1528"/>
      <c r="Q23" s="38"/>
      <c r="R23" s="39"/>
      <c r="S23" s="855"/>
      <c r="T23" s="14"/>
      <c r="U23" s="14"/>
      <c r="V23" s="207"/>
    </row>
    <row r="24" spans="1:22" s="26" customFormat="1" ht="15" customHeight="1">
      <c r="A24" s="219"/>
      <c r="B24" s="834" t="s">
        <v>607</v>
      </c>
      <c r="C24" s="883"/>
      <c r="D24" s="2305"/>
      <c r="E24" s="861">
        <v>7000</v>
      </c>
      <c r="F24" s="207">
        <f>(E24*30.126)/1000</f>
        <v>210.882</v>
      </c>
      <c r="G24" s="615"/>
      <c r="H24" s="448"/>
      <c r="I24" s="14"/>
      <c r="J24" s="14"/>
      <c r="K24" s="14"/>
      <c r="L24" s="14"/>
      <c r="M24" s="14"/>
      <c r="N24" s="14"/>
      <c r="O24" s="14"/>
      <c r="P24" s="1528"/>
      <c r="Q24" s="38"/>
      <c r="R24" s="39"/>
      <c r="S24" s="855"/>
      <c r="T24" s="14"/>
      <c r="U24" s="14"/>
      <c r="V24" s="207"/>
    </row>
    <row r="25" spans="1:22" s="26" customFormat="1" ht="15" customHeight="1" thickBot="1">
      <c r="A25" s="221"/>
      <c r="B25" s="1364" t="s">
        <v>608</v>
      </c>
      <c r="C25" s="1335"/>
      <c r="D25" s="2492"/>
      <c r="E25" s="2415">
        <v>2400</v>
      </c>
      <c r="F25" s="685">
        <f>(E25*30.126)/1000</f>
        <v>72.3024</v>
      </c>
      <c r="G25" s="686"/>
      <c r="H25" s="688"/>
      <c r="I25" s="216"/>
      <c r="J25" s="216"/>
      <c r="K25" s="216"/>
      <c r="L25" s="216"/>
      <c r="M25" s="216"/>
      <c r="N25" s="216"/>
      <c r="O25" s="216"/>
      <c r="P25" s="1530"/>
      <c r="Q25" s="1348"/>
      <c r="R25" s="1349"/>
      <c r="S25" s="2417"/>
      <c r="T25" s="216"/>
      <c r="U25" s="216"/>
      <c r="V25" s="685"/>
    </row>
    <row r="26" spans="1:22" s="26" customFormat="1" ht="15" customHeight="1" hidden="1">
      <c r="A26" s="219"/>
      <c r="B26" s="697" t="s">
        <v>842</v>
      </c>
      <c r="C26" s="77">
        <f>SUM(C27:C29)</f>
        <v>5887</v>
      </c>
      <c r="D26" s="334">
        <f>SUM(D27:D29)</f>
        <v>9030</v>
      </c>
      <c r="E26" s="698">
        <f>SUM(E27:E29)</f>
        <v>0</v>
      </c>
      <c r="F26" s="699">
        <f>SUM(F27:F29)</f>
        <v>0</v>
      </c>
      <c r="G26" s="700"/>
      <c r="H26" s="699"/>
      <c r="I26" s="698"/>
      <c r="J26" s="700"/>
      <c r="K26" s="700"/>
      <c r="L26" s="699"/>
      <c r="M26" s="698"/>
      <c r="N26" s="699"/>
      <c r="O26" s="698"/>
      <c r="P26" s="700"/>
      <c r="Q26" s="700"/>
      <c r="R26" s="700"/>
      <c r="S26" s="700"/>
      <c r="T26" s="700"/>
      <c r="U26" s="700"/>
      <c r="V26" s="700"/>
    </row>
    <row r="27" spans="1:22" s="26" customFormat="1" ht="15" customHeight="1" hidden="1">
      <c r="A27" s="219"/>
      <c r="B27" s="50" t="s">
        <v>856</v>
      </c>
      <c r="C27" s="78">
        <v>2812</v>
      </c>
      <c r="D27" s="277">
        <v>8648</v>
      </c>
      <c r="E27" s="38"/>
      <c r="F27" s="39"/>
      <c r="G27" s="14"/>
      <c r="H27" s="39"/>
      <c r="I27" s="38"/>
      <c r="J27" s="14"/>
      <c r="K27" s="14"/>
      <c r="L27" s="39"/>
      <c r="M27" s="38"/>
      <c r="N27" s="39"/>
      <c r="O27" s="38"/>
      <c r="P27" s="14"/>
      <c r="Q27" s="14"/>
      <c r="R27" s="14"/>
      <c r="S27" s="14"/>
      <c r="T27" s="14"/>
      <c r="U27" s="14"/>
      <c r="V27" s="14"/>
    </row>
    <row r="28" spans="1:22" s="26" customFormat="1" ht="15" customHeight="1" hidden="1">
      <c r="A28" s="219"/>
      <c r="B28" s="50" t="s">
        <v>610</v>
      </c>
      <c r="C28" s="78">
        <v>775</v>
      </c>
      <c r="D28" s="277"/>
      <c r="E28" s="38"/>
      <c r="F28" s="39"/>
      <c r="G28" s="14"/>
      <c r="H28" s="39"/>
      <c r="I28" s="38"/>
      <c r="J28" s="14"/>
      <c r="K28" s="14"/>
      <c r="L28" s="39"/>
      <c r="M28" s="38"/>
      <c r="N28" s="39"/>
      <c r="O28" s="38"/>
      <c r="P28" s="14"/>
      <c r="Q28" s="14"/>
      <c r="R28" s="14"/>
      <c r="S28" s="14"/>
      <c r="T28" s="14"/>
      <c r="U28" s="14"/>
      <c r="V28" s="14"/>
    </row>
    <row r="29" spans="1:22" s="26" customFormat="1" ht="15" customHeight="1" hidden="1">
      <c r="A29" s="219"/>
      <c r="B29" s="50" t="s">
        <v>857</v>
      </c>
      <c r="C29" s="78">
        <v>2300</v>
      </c>
      <c r="D29" s="277">
        <v>382</v>
      </c>
      <c r="E29" s="38"/>
      <c r="F29" s="39"/>
      <c r="G29" s="14"/>
      <c r="H29" s="39"/>
      <c r="I29" s="38"/>
      <c r="J29" s="14"/>
      <c r="K29" s="14"/>
      <c r="L29" s="39"/>
      <c r="M29" s="38"/>
      <c r="N29" s="39"/>
      <c r="O29" s="38"/>
      <c r="P29" s="14"/>
      <c r="Q29" s="14"/>
      <c r="R29" s="14"/>
      <c r="S29" s="14"/>
      <c r="T29" s="14"/>
      <c r="U29" s="14"/>
      <c r="V29" s="14"/>
    </row>
    <row r="30" spans="1:22" s="26" customFormat="1" ht="15" customHeight="1" hidden="1">
      <c r="A30" s="219"/>
      <c r="B30" s="70" t="s">
        <v>843</v>
      </c>
      <c r="C30" s="73"/>
      <c r="D30" s="74">
        <v>100</v>
      </c>
      <c r="E30" s="38"/>
      <c r="F30" s="39"/>
      <c r="G30" s="14"/>
      <c r="H30" s="39"/>
      <c r="I30" s="38"/>
      <c r="J30" s="14"/>
      <c r="K30" s="14"/>
      <c r="L30" s="39"/>
      <c r="M30" s="38"/>
      <c r="N30" s="39"/>
      <c r="O30" s="38"/>
      <c r="P30" s="14"/>
      <c r="Q30" s="14"/>
      <c r="R30" s="14"/>
      <c r="S30" s="14"/>
      <c r="T30" s="14"/>
      <c r="U30" s="14"/>
      <c r="V30" s="14"/>
    </row>
    <row r="31" spans="1:22" s="26" customFormat="1" ht="15" customHeight="1" hidden="1" thickBot="1">
      <c r="A31" s="221"/>
      <c r="B31" s="222" t="s">
        <v>846</v>
      </c>
      <c r="C31" s="205"/>
      <c r="D31" s="284">
        <v>550</v>
      </c>
      <c r="E31" s="215"/>
      <c r="F31" s="274"/>
      <c r="G31" s="216"/>
      <c r="H31" s="274"/>
      <c r="I31" s="215"/>
      <c r="J31" s="216"/>
      <c r="K31" s="216"/>
      <c r="L31" s="274"/>
      <c r="M31" s="215"/>
      <c r="N31" s="274"/>
      <c r="O31" s="215"/>
      <c r="P31" s="216"/>
      <c r="Q31" s="216"/>
      <c r="R31" s="216"/>
      <c r="S31" s="216"/>
      <c r="T31" s="216"/>
      <c r="U31" s="216"/>
      <c r="V31" s="216"/>
    </row>
    <row r="32" spans="1:22" s="6" customFormat="1" ht="19.5" customHeight="1" thickBot="1">
      <c r="A32" s="86"/>
      <c r="C32" s="275"/>
      <c r="D32" s="27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s="23" customFormat="1" ht="39.75" customHeight="1" thickTop="1">
      <c r="A33" s="2884"/>
      <c r="B33" s="2885"/>
      <c r="C33" s="360" t="s">
        <v>506</v>
      </c>
      <c r="D33" s="2112" t="s">
        <v>507</v>
      </c>
      <c r="E33" s="2890" t="s">
        <v>184</v>
      </c>
      <c r="F33" s="2891"/>
      <c r="G33" s="570" t="s">
        <v>510</v>
      </c>
      <c r="H33" s="473" t="s">
        <v>510</v>
      </c>
      <c r="I33" s="474" t="s">
        <v>87</v>
      </c>
      <c r="J33" s="474" t="s">
        <v>87</v>
      </c>
      <c r="K33" s="2871" t="s">
        <v>509</v>
      </c>
      <c r="L33" s="2871"/>
      <c r="M33" s="2871" t="s">
        <v>508</v>
      </c>
      <c r="N33" s="2871"/>
      <c r="O33" s="475" t="s">
        <v>952</v>
      </c>
      <c r="P33" s="767" t="s">
        <v>952</v>
      </c>
      <c r="Q33" s="2859" t="s">
        <v>183</v>
      </c>
      <c r="R33" s="2860"/>
      <c r="S33" s="2865" t="s">
        <v>725</v>
      </c>
      <c r="T33" s="2863"/>
      <c r="U33" s="2863" t="s">
        <v>726</v>
      </c>
      <c r="V33" s="2864"/>
    </row>
    <row r="34" spans="1:22" s="24" customFormat="1" ht="15" customHeight="1" thickBot="1">
      <c r="A34" s="2886"/>
      <c r="B34" s="2887"/>
      <c r="C34" s="347" t="s">
        <v>966</v>
      </c>
      <c r="D34" s="2304" t="s">
        <v>966</v>
      </c>
      <c r="E34" s="768" t="s">
        <v>435</v>
      </c>
      <c r="F34" s="307" t="s">
        <v>966</v>
      </c>
      <c r="G34" s="461" t="s">
        <v>435</v>
      </c>
      <c r="H34" s="346" t="s">
        <v>966</v>
      </c>
      <c r="I34" s="450" t="s">
        <v>435</v>
      </c>
      <c r="J34" s="450" t="s">
        <v>966</v>
      </c>
      <c r="K34" s="239" t="s">
        <v>435</v>
      </c>
      <c r="L34" s="239" t="s">
        <v>966</v>
      </c>
      <c r="M34" s="239" t="s">
        <v>435</v>
      </c>
      <c r="N34" s="239" t="s">
        <v>966</v>
      </c>
      <c r="O34" s="451" t="s">
        <v>435</v>
      </c>
      <c r="P34" s="765" t="s">
        <v>966</v>
      </c>
      <c r="Q34" s="238" t="s">
        <v>435</v>
      </c>
      <c r="R34" s="993" t="s">
        <v>966</v>
      </c>
      <c r="S34" s="2117" t="s">
        <v>435</v>
      </c>
      <c r="T34" s="239" t="s">
        <v>966</v>
      </c>
      <c r="U34" s="239" t="s">
        <v>435</v>
      </c>
      <c r="V34" s="307" t="s">
        <v>966</v>
      </c>
    </row>
    <row r="35" spans="1:22" s="420" customFormat="1" ht="19.5" customHeight="1">
      <c r="A35" s="1776" t="s">
        <v>756</v>
      </c>
      <c r="B35" s="1012" t="s">
        <v>318</v>
      </c>
      <c r="C35" s="1013" t="e">
        <f>C38+C44</f>
        <v>#REF!</v>
      </c>
      <c r="D35" s="1507" t="e">
        <f aca="true" t="shared" si="5" ref="D35:N35">D38+D44</f>
        <v>#REF!</v>
      </c>
      <c r="E35" s="1018">
        <f t="shared" si="5"/>
        <v>6639</v>
      </c>
      <c r="F35" s="1017">
        <f t="shared" si="5"/>
        <v>200.00651399999998</v>
      </c>
      <c r="G35" s="1102">
        <f t="shared" si="5"/>
        <v>1052632</v>
      </c>
      <c r="H35" s="1015">
        <f t="shared" si="5"/>
        <v>31711.591632000003</v>
      </c>
      <c r="I35" s="1016">
        <f t="shared" si="5"/>
        <v>1052632</v>
      </c>
      <c r="J35" s="1016">
        <f t="shared" si="5"/>
        <v>31711.591632000003</v>
      </c>
      <c r="K35" s="1016">
        <f t="shared" si="5"/>
        <v>1052632</v>
      </c>
      <c r="L35" s="1016">
        <f t="shared" si="5"/>
        <v>31711.591632000003</v>
      </c>
      <c r="M35" s="1016">
        <f t="shared" si="5"/>
        <v>1052632</v>
      </c>
      <c r="N35" s="1016">
        <f t="shared" si="5"/>
        <v>31711.591632000003</v>
      </c>
      <c r="O35" s="1016">
        <f aca="true" t="shared" si="6" ref="O35:P37">O38+O44</f>
        <v>1052632</v>
      </c>
      <c r="P35" s="1507">
        <f t="shared" si="6"/>
        <v>31711.591632000003</v>
      </c>
      <c r="Q35" s="1015">
        <f aca="true" t="shared" si="7" ref="Q35:R37">Q38+Q44</f>
        <v>1052632</v>
      </c>
      <c r="R35" s="1014">
        <f t="shared" si="7"/>
        <v>31711.591632000003</v>
      </c>
      <c r="S35" s="1013">
        <f aca="true" t="shared" si="8" ref="S35:V37">S38+S44</f>
        <v>1052632</v>
      </c>
      <c r="T35" s="1016">
        <f t="shared" si="8"/>
        <v>31711.591632000003</v>
      </c>
      <c r="U35" s="1016">
        <f t="shared" si="8"/>
        <v>1052632</v>
      </c>
      <c r="V35" s="1017">
        <f t="shared" si="8"/>
        <v>31711.591632000003</v>
      </c>
    </row>
    <row r="36" spans="1:22" s="30" customFormat="1" ht="15" customHeight="1">
      <c r="A36" s="1020"/>
      <c r="B36" s="1021" t="s">
        <v>7</v>
      </c>
      <c r="C36" s="1022" t="e">
        <f>C39+C45</f>
        <v>#REF!</v>
      </c>
      <c r="D36" s="1508" t="e">
        <f aca="true" t="shared" si="9" ref="D36:N36">D39+D45</f>
        <v>#REF!</v>
      </c>
      <c r="E36" s="1027">
        <f t="shared" si="9"/>
        <v>6639</v>
      </c>
      <c r="F36" s="1026">
        <f t="shared" si="9"/>
        <v>200.00651399999998</v>
      </c>
      <c r="G36" s="369">
        <f t="shared" si="9"/>
        <v>52632</v>
      </c>
      <c r="H36" s="1024">
        <f t="shared" si="9"/>
        <v>1585.5916320000001</v>
      </c>
      <c r="I36" s="1025">
        <f t="shared" si="9"/>
        <v>52632</v>
      </c>
      <c r="J36" s="1025">
        <f t="shared" si="9"/>
        <v>1585.5916320000001</v>
      </c>
      <c r="K36" s="1025">
        <f t="shared" si="9"/>
        <v>52632</v>
      </c>
      <c r="L36" s="1025">
        <f t="shared" si="9"/>
        <v>1585.5916320000001</v>
      </c>
      <c r="M36" s="1025">
        <f t="shared" si="9"/>
        <v>52632</v>
      </c>
      <c r="N36" s="1025">
        <f t="shared" si="9"/>
        <v>1585.5916320000001</v>
      </c>
      <c r="O36" s="1025">
        <f t="shared" si="6"/>
        <v>52632</v>
      </c>
      <c r="P36" s="1508">
        <f t="shared" si="6"/>
        <v>1585.5916320000001</v>
      </c>
      <c r="Q36" s="1024">
        <f t="shared" si="7"/>
        <v>52632</v>
      </c>
      <c r="R36" s="1023">
        <f t="shared" si="7"/>
        <v>1585.5916320000001</v>
      </c>
      <c r="S36" s="1022">
        <f t="shared" si="8"/>
        <v>52632</v>
      </c>
      <c r="T36" s="1025">
        <f t="shared" si="8"/>
        <v>1585.5916320000001</v>
      </c>
      <c r="U36" s="1025">
        <f t="shared" si="8"/>
        <v>52632</v>
      </c>
      <c r="V36" s="1026">
        <f t="shared" si="8"/>
        <v>1585.5916320000001</v>
      </c>
    </row>
    <row r="37" spans="1:22" s="49" customFormat="1" ht="15" customHeight="1">
      <c r="A37" s="1029"/>
      <c r="B37" s="1030" t="s">
        <v>8</v>
      </c>
      <c r="C37" s="1031" t="e">
        <f>C40+C46</f>
        <v>#REF!</v>
      </c>
      <c r="D37" s="1509" t="e">
        <f aca="true" t="shared" si="10" ref="D37:N37">D40+D46</f>
        <v>#REF!</v>
      </c>
      <c r="E37" s="1036">
        <f t="shared" si="10"/>
        <v>0</v>
      </c>
      <c r="F37" s="1035">
        <f t="shared" si="10"/>
        <v>0</v>
      </c>
      <c r="G37" s="1082">
        <f t="shared" si="10"/>
        <v>1000000</v>
      </c>
      <c r="H37" s="1033">
        <f t="shared" si="10"/>
        <v>30126</v>
      </c>
      <c r="I37" s="1034">
        <f t="shared" si="10"/>
        <v>1000000</v>
      </c>
      <c r="J37" s="1034">
        <f t="shared" si="10"/>
        <v>30126</v>
      </c>
      <c r="K37" s="1034">
        <f t="shared" si="10"/>
        <v>1000000</v>
      </c>
      <c r="L37" s="1034">
        <f t="shared" si="10"/>
        <v>30126</v>
      </c>
      <c r="M37" s="1034">
        <f t="shared" si="10"/>
        <v>1000000</v>
      </c>
      <c r="N37" s="1034">
        <f t="shared" si="10"/>
        <v>30126</v>
      </c>
      <c r="O37" s="1034">
        <f t="shared" si="6"/>
        <v>1000000</v>
      </c>
      <c r="P37" s="1509">
        <f t="shared" si="6"/>
        <v>30126</v>
      </c>
      <c r="Q37" s="1033">
        <f t="shared" si="7"/>
        <v>1000000</v>
      </c>
      <c r="R37" s="1032">
        <f t="shared" si="7"/>
        <v>30126</v>
      </c>
      <c r="S37" s="1031">
        <f t="shared" si="8"/>
        <v>1000000</v>
      </c>
      <c r="T37" s="1034">
        <f t="shared" si="8"/>
        <v>30126</v>
      </c>
      <c r="U37" s="1034">
        <f t="shared" si="8"/>
        <v>1000000</v>
      </c>
      <c r="V37" s="1035">
        <f t="shared" si="8"/>
        <v>30126</v>
      </c>
    </row>
    <row r="38" spans="1:22" s="49" customFormat="1" ht="15" customHeight="1">
      <c r="A38" s="1038"/>
      <c r="B38" s="1039" t="s">
        <v>965</v>
      </c>
      <c r="C38" s="1040">
        <f>C41</f>
        <v>0</v>
      </c>
      <c r="D38" s="1510">
        <f aca="true" t="shared" si="11" ref="D38:N38">D41</f>
        <v>0</v>
      </c>
      <c r="E38" s="1045">
        <f t="shared" si="11"/>
        <v>0</v>
      </c>
      <c r="F38" s="1044">
        <f t="shared" si="11"/>
        <v>0</v>
      </c>
      <c r="G38" s="1083">
        <f t="shared" si="11"/>
        <v>31579</v>
      </c>
      <c r="H38" s="1042">
        <f t="shared" si="11"/>
        <v>951.3489539999999</v>
      </c>
      <c r="I38" s="1043">
        <f t="shared" si="11"/>
        <v>31579</v>
      </c>
      <c r="J38" s="1043">
        <f t="shared" si="11"/>
        <v>951.3489539999999</v>
      </c>
      <c r="K38" s="1043">
        <f t="shared" si="11"/>
        <v>31579</v>
      </c>
      <c r="L38" s="1043">
        <f t="shared" si="11"/>
        <v>951.3489539999999</v>
      </c>
      <c r="M38" s="1043">
        <f t="shared" si="11"/>
        <v>31579</v>
      </c>
      <c r="N38" s="1043">
        <f t="shared" si="11"/>
        <v>951.3489539999999</v>
      </c>
      <c r="O38" s="1043">
        <f aca="true" t="shared" si="12" ref="O38:P40">O41</f>
        <v>31579</v>
      </c>
      <c r="P38" s="1510">
        <f t="shared" si="12"/>
        <v>951.3489539999999</v>
      </c>
      <c r="Q38" s="1042">
        <f aca="true" t="shared" si="13" ref="Q38:R40">Q41</f>
        <v>31579</v>
      </c>
      <c r="R38" s="1041">
        <f t="shared" si="13"/>
        <v>951.3489539999999</v>
      </c>
      <c r="S38" s="1040">
        <f aca="true" t="shared" si="14" ref="S38:V40">S41</f>
        <v>31579</v>
      </c>
      <c r="T38" s="1043">
        <f t="shared" si="14"/>
        <v>951.3489539999999</v>
      </c>
      <c r="U38" s="1043">
        <f t="shared" si="14"/>
        <v>31579</v>
      </c>
      <c r="V38" s="1044">
        <f t="shared" si="14"/>
        <v>951.3489539999999</v>
      </c>
    </row>
    <row r="39" spans="1:22" s="30" customFormat="1" ht="15" customHeight="1">
      <c r="A39" s="1020"/>
      <c r="B39" s="1021" t="s">
        <v>7</v>
      </c>
      <c r="C39" s="1022">
        <f>C42</f>
        <v>0</v>
      </c>
      <c r="D39" s="1508">
        <f aca="true" t="shared" si="15" ref="D39:N39">D42</f>
        <v>0</v>
      </c>
      <c r="E39" s="1027">
        <f t="shared" si="15"/>
        <v>0</v>
      </c>
      <c r="F39" s="1026">
        <f t="shared" si="15"/>
        <v>0</v>
      </c>
      <c r="G39" s="369">
        <f t="shared" si="15"/>
        <v>1579</v>
      </c>
      <c r="H39" s="1024">
        <f t="shared" si="15"/>
        <v>47.568954000000005</v>
      </c>
      <c r="I39" s="1025">
        <f t="shared" si="15"/>
        <v>1579</v>
      </c>
      <c r="J39" s="1025">
        <f t="shared" si="15"/>
        <v>47.568954000000005</v>
      </c>
      <c r="K39" s="1025">
        <f t="shared" si="15"/>
        <v>1579</v>
      </c>
      <c r="L39" s="1025">
        <f t="shared" si="15"/>
        <v>47.568954000000005</v>
      </c>
      <c r="M39" s="1025">
        <f t="shared" si="15"/>
        <v>1579</v>
      </c>
      <c r="N39" s="1025">
        <f t="shared" si="15"/>
        <v>47.568954000000005</v>
      </c>
      <c r="O39" s="1025">
        <f t="shared" si="12"/>
        <v>1579</v>
      </c>
      <c r="P39" s="1508">
        <f t="shared" si="12"/>
        <v>47.568954000000005</v>
      </c>
      <c r="Q39" s="1024">
        <f t="shared" si="13"/>
        <v>1579</v>
      </c>
      <c r="R39" s="1023">
        <f t="shared" si="13"/>
        <v>47.568954000000005</v>
      </c>
      <c r="S39" s="1022">
        <f t="shared" si="14"/>
        <v>1579</v>
      </c>
      <c r="T39" s="1025">
        <f t="shared" si="14"/>
        <v>47.568954000000005</v>
      </c>
      <c r="U39" s="1025">
        <f t="shared" si="14"/>
        <v>1579</v>
      </c>
      <c r="V39" s="1026">
        <f t="shared" si="14"/>
        <v>47.568954000000005</v>
      </c>
    </row>
    <row r="40" spans="1:22" s="49" customFormat="1" ht="15" customHeight="1">
      <c r="A40" s="1047"/>
      <c r="B40" s="1048" t="s">
        <v>8</v>
      </c>
      <c r="C40" s="1049">
        <f>C43</f>
        <v>0</v>
      </c>
      <c r="D40" s="1511">
        <f aca="true" t="shared" si="16" ref="D40:N40">D43</f>
        <v>0</v>
      </c>
      <c r="E40" s="1054">
        <f t="shared" si="16"/>
        <v>0</v>
      </c>
      <c r="F40" s="1053">
        <f t="shared" si="16"/>
        <v>0</v>
      </c>
      <c r="G40" s="1084">
        <f t="shared" si="16"/>
        <v>30000</v>
      </c>
      <c r="H40" s="1051">
        <f t="shared" si="16"/>
        <v>903.78</v>
      </c>
      <c r="I40" s="1052">
        <f t="shared" si="16"/>
        <v>30000</v>
      </c>
      <c r="J40" s="1052">
        <f t="shared" si="16"/>
        <v>903.78</v>
      </c>
      <c r="K40" s="1052">
        <f t="shared" si="16"/>
        <v>30000</v>
      </c>
      <c r="L40" s="1052">
        <f t="shared" si="16"/>
        <v>903.78</v>
      </c>
      <c r="M40" s="1052">
        <f t="shared" si="16"/>
        <v>30000</v>
      </c>
      <c r="N40" s="1052">
        <f t="shared" si="16"/>
        <v>903.78</v>
      </c>
      <c r="O40" s="1052">
        <f t="shared" si="12"/>
        <v>30000</v>
      </c>
      <c r="P40" s="1511">
        <f t="shared" si="12"/>
        <v>903.78</v>
      </c>
      <c r="Q40" s="1051">
        <f t="shared" si="13"/>
        <v>30000</v>
      </c>
      <c r="R40" s="1050">
        <f t="shared" si="13"/>
        <v>903.78</v>
      </c>
      <c r="S40" s="1049">
        <f t="shared" si="14"/>
        <v>30000</v>
      </c>
      <c r="T40" s="1052">
        <f t="shared" si="14"/>
        <v>903.78</v>
      </c>
      <c r="U40" s="1052">
        <f t="shared" si="14"/>
        <v>30000</v>
      </c>
      <c r="V40" s="1053">
        <f t="shared" si="14"/>
        <v>903.78</v>
      </c>
    </row>
    <row r="41" spans="1:22" s="426" customFormat="1" ht="15" customHeight="1">
      <c r="A41" s="1365"/>
      <c r="B41" s="1366" t="s">
        <v>53</v>
      </c>
      <c r="C41" s="1367">
        <f aca="true" t="shared" si="17" ref="C41:H41">SUM(C42:C43)</f>
        <v>0</v>
      </c>
      <c r="D41" s="1787">
        <f t="shared" si="17"/>
        <v>0</v>
      </c>
      <c r="E41" s="2496">
        <f t="shared" si="17"/>
        <v>0</v>
      </c>
      <c r="F41" s="1372">
        <f t="shared" si="17"/>
        <v>0</v>
      </c>
      <c r="G41" s="1369">
        <f t="shared" si="17"/>
        <v>31579</v>
      </c>
      <c r="H41" s="1370">
        <f t="shared" si="17"/>
        <v>951.3489539999999</v>
      </c>
      <c r="I41" s="1371">
        <f aca="true" t="shared" si="18" ref="I41:N41">SUM(I42:I43)</f>
        <v>31579</v>
      </c>
      <c r="J41" s="1371">
        <f t="shared" si="18"/>
        <v>951.3489539999999</v>
      </c>
      <c r="K41" s="1371">
        <f t="shared" si="18"/>
        <v>31579</v>
      </c>
      <c r="L41" s="1371">
        <f t="shared" si="18"/>
        <v>951.3489539999999</v>
      </c>
      <c r="M41" s="1371">
        <f t="shared" si="18"/>
        <v>31579</v>
      </c>
      <c r="N41" s="1371">
        <f t="shared" si="18"/>
        <v>951.3489539999999</v>
      </c>
      <c r="O41" s="1371">
        <f aca="true" t="shared" si="19" ref="O41:V41">SUM(O42:O43)</f>
        <v>31579</v>
      </c>
      <c r="P41" s="1787">
        <f t="shared" si="19"/>
        <v>951.3489539999999</v>
      </c>
      <c r="Q41" s="1370">
        <f t="shared" si="19"/>
        <v>31579</v>
      </c>
      <c r="R41" s="1368">
        <f t="shared" si="19"/>
        <v>951.3489539999999</v>
      </c>
      <c r="S41" s="1367">
        <f t="shared" si="19"/>
        <v>31579</v>
      </c>
      <c r="T41" s="1371">
        <f t="shared" si="19"/>
        <v>951.3489539999999</v>
      </c>
      <c r="U41" s="1371">
        <f t="shared" si="19"/>
        <v>31579</v>
      </c>
      <c r="V41" s="1372">
        <f t="shared" si="19"/>
        <v>951.3489539999999</v>
      </c>
    </row>
    <row r="42" spans="1:22" s="26" customFormat="1" ht="15" customHeight="1">
      <c r="A42" s="219"/>
      <c r="B42" s="834" t="s">
        <v>340</v>
      </c>
      <c r="C42" s="887"/>
      <c r="D42" s="2308"/>
      <c r="E42" s="2497"/>
      <c r="F42" s="730"/>
      <c r="G42" s="1373">
        <v>1579</v>
      </c>
      <c r="H42" s="1374">
        <f>G42*30.126/1000</f>
        <v>47.568954000000005</v>
      </c>
      <c r="I42" s="323">
        <v>1579</v>
      </c>
      <c r="J42" s="323">
        <f>I42*30.126/1000</f>
        <v>47.568954000000005</v>
      </c>
      <c r="K42" s="323">
        <v>1579</v>
      </c>
      <c r="L42" s="323">
        <f>K42*30.126/1000</f>
        <v>47.568954000000005</v>
      </c>
      <c r="M42" s="323">
        <v>1579</v>
      </c>
      <c r="N42" s="323">
        <f>M42*30.126/1000</f>
        <v>47.568954000000005</v>
      </c>
      <c r="O42" s="323">
        <v>1579</v>
      </c>
      <c r="P42" s="1529">
        <f>O42*30.126/1000</f>
        <v>47.568954000000005</v>
      </c>
      <c r="Q42" s="1374">
        <v>1579</v>
      </c>
      <c r="R42" s="320">
        <f>Q42*30.126/1000</f>
        <v>47.568954000000005</v>
      </c>
      <c r="S42" s="1538">
        <v>1579</v>
      </c>
      <c r="T42" s="323">
        <f>S42*30.126/1000</f>
        <v>47.568954000000005</v>
      </c>
      <c r="U42" s="323">
        <v>1579</v>
      </c>
      <c r="V42" s="730">
        <f>U42*30.126/1000</f>
        <v>47.568954000000005</v>
      </c>
    </row>
    <row r="43" spans="1:22" s="25" customFormat="1" ht="15" customHeight="1">
      <c r="A43" s="1375"/>
      <c r="B43" s="1065" t="s">
        <v>341</v>
      </c>
      <c r="C43" s="1376"/>
      <c r="D43" s="2495"/>
      <c r="E43" s="2498"/>
      <c r="F43" s="2499"/>
      <c r="G43" s="1377">
        <v>30000</v>
      </c>
      <c r="H43" s="1378">
        <f>G43*30.126/1000</f>
        <v>903.78</v>
      </c>
      <c r="I43" s="1379">
        <v>30000</v>
      </c>
      <c r="J43" s="1380">
        <f>I43*30.126/1000</f>
        <v>903.78</v>
      </c>
      <c r="K43" s="1379">
        <v>30000</v>
      </c>
      <c r="L43" s="1380">
        <f>K43*30.126/1000</f>
        <v>903.78</v>
      </c>
      <c r="M43" s="1379">
        <v>30000</v>
      </c>
      <c r="N43" s="1380">
        <f>M43*30.126/1000</f>
        <v>903.78</v>
      </c>
      <c r="O43" s="1379">
        <v>30000</v>
      </c>
      <c r="P43" s="1788">
        <f>O43*30.126/1000</f>
        <v>903.78</v>
      </c>
      <c r="Q43" s="1386">
        <v>30000</v>
      </c>
      <c r="R43" s="2503">
        <f>Q43*30.126/1000</f>
        <v>903.78</v>
      </c>
      <c r="S43" s="2500">
        <v>30000</v>
      </c>
      <c r="T43" s="1380">
        <f>S43*30.126/1000</f>
        <v>903.78</v>
      </c>
      <c r="U43" s="1379">
        <v>30000</v>
      </c>
      <c r="V43" s="1381">
        <f>U43*30.126/1000</f>
        <v>903.78</v>
      </c>
    </row>
    <row r="44" spans="1:22" s="49" customFormat="1" ht="15" customHeight="1">
      <c r="A44" s="1038"/>
      <c r="B44" s="1039" t="s">
        <v>967</v>
      </c>
      <c r="C44" s="1040" t="e">
        <f>C47+#REF!+C50</f>
        <v>#REF!</v>
      </c>
      <c r="D44" s="1510" t="e">
        <f>D47+#REF!+D50</f>
        <v>#REF!</v>
      </c>
      <c r="E44" s="1045">
        <f>E47+E50</f>
        <v>6639</v>
      </c>
      <c r="F44" s="1044">
        <f aca="true" t="shared" si="20" ref="F44:V44">F47+F50</f>
        <v>200.00651399999998</v>
      </c>
      <c r="G44" s="1040">
        <f t="shared" si="20"/>
        <v>1021053</v>
      </c>
      <c r="H44" s="1042">
        <f t="shared" si="20"/>
        <v>30760.242678000002</v>
      </c>
      <c r="I44" s="1042">
        <f t="shared" si="20"/>
        <v>1021053</v>
      </c>
      <c r="J44" s="1042">
        <f t="shared" si="20"/>
        <v>30760.242678000002</v>
      </c>
      <c r="K44" s="1042">
        <f t="shared" si="20"/>
        <v>1021053</v>
      </c>
      <c r="L44" s="1042">
        <f t="shared" si="20"/>
        <v>30760.242678000002</v>
      </c>
      <c r="M44" s="1042">
        <f t="shared" si="20"/>
        <v>1021053</v>
      </c>
      <c r="N44" s="1042">
        <f t="shared" si="20"/>
        <v>30760.242678000002</v>
      </c>
      <c r="O44" s="1042">
        <f t="shared" si="20"/>
        <v>1021053</v>
      </c>
      <c r="P44" s="1654">
        <f t="shared" si="20"/>
        <v>30760.242678000002</v>
      </c>
      <c r="Q44" s="1042">
        <f t="shared" si="20"/>
        <v>1021053</v>
      </c>
      <c r="R44" s="1041">
        <f t="shared" si="20"/>
        <v>30760.242678000002</v>
      </c>
      <c r="S44" s="1040">
        <f t="shared" si="20"/>
        <v>1021053</v>
      </c>
      <c r="T44" s="1043">
        <f t="shared" si="20"/>
        <v>30760.242678000002</v>
      </c>
      <c r="U44" s="1043">
        <f t="shared" si="20"/>
        <v>1021053</v>
      </c>
      <c r="V44" s="1044">
        <f t="shared" si="20"/>
        <v>30760.242678000002</v>
      </c>
    </row>
    <row r="45" spans="1:22" s="30" customFormat="1" ht="15" customHeight="1">
      <c r="A45" s="1020"/>
      <c r="B45" s="1021" t="s">
        <v>7</v>
      </c>
      <c r="C45" s="1022" t="e">
        <f>C48+#REF!+C51</f>
        <v>#REF!</v>
      </c>
      <c r="D45" s="1508" t="e">
        <f>D48+#REF!+D51</f>
        <v>#REF!</v>
      </c>
      <c r="E45" s="1027">
        <f>E48+E51</f>
        <v>6639</v>
      </c>
      <c r="F45" s="1026">
        <f aca="true" t="shared" si="21" ref="F45:V45">F48+F51</f>
        <v>200.00651399999998</v>
      </c>
      <c r="G45" s="1022">
        <f t="shared" si="21"/>
        <v>51053</v>
      </c>
      <c r="H45" s="1024">
        <f t="shared" si="21"/>
        <v>1538.022678</v>
      </c>
      <c r="I45" s="1024">
        <f t="shared" si="21"/>
        <v>51053</v>
      </c>
      <c r="J45" s="1024">
        <f t="shared" si="21"/>
        <v>1538.022678</v>
      </c>
      <c r="K45" s="1024">
        <f t="shared" si="21"/>
        <v>51053</v>
      </c>
      <c r="L45" s="1024">
        <f t="shared" si="21"/>
        <v>1538.022678</v>
      </c>
      <c r="M45" s="1024">
        <f t="shared" si="21"/>
        <v>51053</v>
      </c>
      <c r="N45" s="1024">
        <f t="shared" si="21"/>
        <v>1538.022678</v>
      </c>
      <c r="O45" s="1024">
        <f t="shared" si="21"/>
        <v>51053</v>
      </c>
      <c r="P45" s="1652">
        <f t="shared" si="21"/>
        <v>1538.022678</v>
      </c>
      <c r="Q45" s="1024">
        <f t="shared" si="21"/>
        <v>51053</v>
      </c>
      <c r="R45" s="1023">
        <f t="shared" si="21"/>
        <v>1538.022678</v>
      </c>
      <c r="S45" s="1022">
        <f t="shared" si="21"/>
        <v>51053</v>
      </c>
      <c r="T45" s="1025">
        <f t="shared" si="21"/>
        <v>1538.022678</v>
      </c>
      <c r="U45" s="1025">
        <f t="shared" si="21"/>
        <v>51053</v>
      </c>
      <c r="V45" s="1026">
        <f t="shared" si="21"/>
        <v>1538.022678</v>
      </c>
    </row>
    <row r="46" spans="1:22" s="49" customFormat="1" ht="15" customHeight="1">
      <c r="A46" s="1047"/>
      <c r="B46" s="1048" t="s">
        <v>8</v>
      </c>
      <c r="C46" s="1049" t="e">
        <f>C49+#REF!+C52</f>
        <v>#REF!</v>
      </c>
      <c r="D46" s="1511" t="e">
        <f>D49+#REF!+D52</f>
        <v>#REF!</v>
      </c>
      <c r="E46" s="1054">
        <f>E49+E52</f>
        <v>0</v>
      </c>
      <c r="F46" s="1053">
        <f aca="true" t="shared" si="22" ref="F46:V46">F49+F52</f>
        <v>0</v>
      </c>
      <c r="G46" s="1049">
        <f t="shared" si="22"/>
        <v>970000</v>
      </c>
      <c r="H46" s="1051">
        <f t="shared" si="22"/>
        <v>29222.22</v>
      </c>
      <c r="I46" s="1051">
        <f t="shared" si="22"/>
        <v>970000</v>
      </c>
      <c r="J46" s="1051">
        <f t="shared" si="22"/>
        <v>29222.22</v>
      </c>
      <c r="K46" s="1051">
        <f t="shared" si="22"/>
        <v>970000</v>
      </c>
      <c r="L46" s="1051">
        <f t="shared" si="22"/>
        <v>29222.22</v>
      </c>
      <c r="M46" s="1051">
        <f t="shared" si="22"/>
        <v>970000</v>
      </c>
      <c r="N46" s="1051">
        <f t="shared" si="22"/>
        <v>29222.22</v>
      </c>
      <c r="O46" s="1051">
        <f t="shared" si="22"/>
        <v>970000</v>
      </c>
      <c r="P46" s="1655">
        <f t="shared" si="22"/>
        <v>29222.22</v>
      </c>
      <c r="Q46" s="1051">
        <f t="shared" si="22"/>
        <v>970000</v>
      </c>
      <c r="R46" s="1050">
        <f t="shared" si="22"/>
        <v>29222.22</v>
      </c>
      <c r="S46" s="1049">
        <f t="shared" si="22"/>
        <v>970000</v>
      </c>
      <c r="T46" s="1052">
        <f t="shared" si="22"/>
        <v>29222.22</v>
      </c>
      <c r="U46" s="1052">
        <f t="shared" si="22"/>
        <v>970000</v>
      </c>
      <c r="V46" s="1053">
        <f t="shared" si="22"/>
        <v>29222.22</v>
      </c>
    </row>
    <row r="47" spans="1:22" s="426" customFormat="1" ht="15" customHeight="1">
      <c r="A47" s="1365"/>
      <c r="B47" s="1366" t="s">
        <v>53</v>
      </c>
      <c r="C47" s="1367">
        <f aca="true" t="shared" si="23" ref="C47:H47">SUM(C48:C49)</f>
        <v>0</v>
      </c>
      <c r="D47" s="1787">
        <f t="shared" si="23"/>
        <v>0</v>
      </c>
      <c r="E47" s="2496">
        <f t="shared" si="23"/>
        <v>0</v>
      </c>
      <c r="F47" s="1372">
        <f t="shared" si="23"/>
        <v>0</v>
      </c>
      <c r="G47" s="1369">
        <f t="shared" si="23"/>
        <v>1021053</v>
      </c>
      <c r="H47" s="1370">
        <f t="shared" si="23"/>
        <v>30760.242678000002</v>
      </c>
      <c r="I47" s="1371">
        <f aca="true" t="shared" si="24" ref="I47:N47">SUM(I48:I49)</f>
        <v>1021053</v>
      </c>
      <c r="J47" s="1371">
        <f t="shared" si="24"/>
        <v>30760.242678000002</v>
      </c>
      <c r="K47" s="1371">
        <f t="shared" si="24"/>
        <v>1021053</v>
      </c>
      <c r="L47" s="1371">
        <f t="shared" si="24"/>
        <v>30760.242678000002</v>
      </c>
      <c r="M47" s="1371">
        <f t="shared" si="24"/>
        <v>1021053</v>
      </c>
      <c r="N47" s="1371">
        <f t="shared" si="24"/>
        <v>30760.242678000002</v>
      </c>
      <c r="O47" s="1371">
        <f aca="true" t="shared" si="25" ref="O47:V47">SUM(O48:O49)</f>
        <v>1021053</v>
      </c>
      <c r="P47" s="1787">
        <f t="shared" si="25"/>
        <v>30760.242678000002</v>
      </c>
      <c r="Q47" s="1370">
        <f t="shared" si="25"/>
        <v>1021053</v>
      </c>
      <c r="R47" s="1368">
        <f t="shared" si="25"/>
        <v>30760.242678000002</v>
      </c>
      <c r="S47" s="1367">
        <f t="shared" si="25"/>
        <v>1021053</v>
      </c>
      <c r="T47" s="1371">
        <f t="shared" si="25"/>
        <v>30760.242678000002</v>
      </c>
      <c r="U47" s="1371">
        <f t="shared" si="25"/>
        <v>1021053</v>
      </c>
      <c r="V47" s="1372">
        <f t="shared" si="25"/>
        <v>30760.242678000002</v>
      </c>
    </row>
    <row r="48" spans="1:22" s="26" customFormat="1" ht="15" customHeight="1">
      <c r="A48" s="219"/>
      <c r="B48" s="834" t="s">
        <v>340</v>
      </c>
      <c r="C48" s="887"/>
      <c r="D48" s="2308"/>
      <c r="E48" s="2497"/>
      <c r="F48" s="730"/>
      <c r="G48" s="1373">
        <v>51053</v>
      </c>
      <c r="H48" s="1374">
        <f>G48*30.126/1000</f>
        <v>1538.022678</v>
      </c>
      <c r="I48" s="323">
        <v>51053</v>
      </c>
      <c r="J48" s="323">
        <f>I48*30.126/1000</f>
        <v>1538.022678</v>
      </c>
      <c r="K48" s="323">
        <v>51053</v>
      </c>
      <c r="L48" s="323">
        <f>K48*30.126/1000</f>
        <v>1538.022678</v>
      </c>
      <c r="M48" s="323">
        <v>51053</v>
      </c>
      <c r="N48" s="323">
        <f>M48*30.126/1000</f>
        <v>1538.022678</v>
      </c>
      <c r="O48" s="323">
        <v>51053</v>
      </c>
      <c r="P48" s="1529">
        <f>O48*30.126/1000</f>
        <v>1538.022678</v>
      </c>
      <c r="Q48" s="1374">
        <v>51053</v>
      </c>
      <c r="R48" s="320">
        <f>Q48*30.126/1000</f>
        <v>1538.022678</v>
      </c>
      <c r="S48" s="1538">
        <v>51053</v>
      </c>
      <c r="T48" s="323">
        <f>S48*30.126/1000</f>
        <v>1538.022678</v>
      </c>
      <c r="U48" s="323">
        <v>51053</v>
      </c>
      <c r="V48" s="730">
        <f>U48*30.126/1000</f>
        <v>1538.022678</v>
      </c>
    </row>
    <row r="49" spans="1:22" s="25" customFormat="1" ht="15" customHeight="1">
      <c r="A49" s="1375"/>
      <c r="B49" s="1065" t="s">
        <v>341</v>
      </c>
      <c r="C49" s="1376"/>
      <c r="D49" s="2495"/>
      <c r="E49" s="2498"/>
      <c r="F49" s="2499"/>
      <c r="G49" s="1377">
        <v>970000</v>
      </c>
      <c r="H49" s="1378">
        <f>G49*30.126/1000</f>
        <v>29222.22</v>
      </c>
      <c r="I49" s="1379">
        <v>970000</v>
      </c>
      <c r="J49" s="1380">
        <f>I49*30.126/1000</f>
        <v>29222.22</v>
      </c>
      <c r="K49" s="1379">
        <v>970000</v>
      </c>
      <c r="L49" s="1380">
        <f>K49*30.126/1000</f>
        <v>29222.22</v>
      </c>
      <c r="M49" s="1379">
        <v>970000</v>
      </c>
      <c r="N49" s="1380">
        <f>M49*30.126/1000</f>
        <v>29222.22</v>
      </c>
      <c r="O49" s="1379">
        <v>970000</v>
      </c>
      <c r="P49" s="1788">
        <f>O49*30.126/1000</f>
        <v>29222.22</v>
      </c>
      <c r="Q49" s="1386">
        <v>970000</v>
      </c>
      <c r="R49" s="2503">
        <f>Q49*30.126/1000</f>
        <v>29222.22</v>
      </c>
      <c r="S49" s="2500">
        <v>970000</v>
      </c>
      <c r="T49" s="1380">
        <f>S49*30.126/1000</f>
        <v>29222.22</v>
      </c>
      <c r="U49" s="1379">
        <v>970000</v>
      </c>
      <c r="V49" s="1381">
        <f>U49*30.126/1000</f>
        <v>29222.22</v>
      </c>
    </row>
    <row r="50" spans="1:22" s="426" customFormat="1" ht="15" customHeight="1">
      <c r="A50" s="1365"/>
      <c r="B50" s="1366" t="s">
        <v>54</v>
      </c>
      <c r="C50" s="1057">
        <f>SUM(C51:C52)</f>
        <v>0</v>
      </c>
      <c r="D50" s="1681">
        <f>SUM(D51:D52)</f>
        <v>0</v>
      </c>
      <c r="E50" s="1835">
        <f>SUM(E51:E52)</f>
        <v>6639</v>
      </c>
      <c r="F50" s="1384">
        <f>SUM(F51:F52)</f>
        <v>200.00651399999998</v>
      </c>
      <c r="G50" s="1382">
        <f aca="true" t="shared" si="26" ref="G50:N50">SUM(G51:G52)</f>
        <v>0</v>
      </c>
      <c r="H50" s="1254">
        <f t="shared" si="26"/>
        <v>0</v>
      </c>
      <c r="I50" s="1383">
        <f t="shared" si="26"/>
        <v>0</v>
      </c>
      <c r="J50" s="1383">
        <f t="shared" si="26"/>
        <v>0</v>
      </c>
      <c r="K50" s="1383">
        <f t="shared" si="26"/>
        <v>0</v>
      </c>
      <c r="L50" s="1383">
        <f t="shared" si="26"/>
        <v>0</v>
      </c>
      <c r="M50" s="1383">
        <f t="shared" si="26"/>
        <v>0</v>
      </c>
      <c r="N50" s="1383">
        <f t="shared" si="26"/>
        <v>0</v>
      </c>
      <c r="O50" s="1383">
        <f aca="true" t="shared" si="27" ref="O50:V50">SUM(O51:O52)</f>
        <v>0</v>
      </c>
      <c r="P50" s="1789">
        <f t="shared" si="27"/>
        <v>0</v>
      </c>
      <c r="Q50" s="1254">
        <f t="shared" si="27"/>
        <v>0</v>
      </c>
      <c r="R50" s="1255">
        <f t="shared" si="27"/>
        <v>0</v>
      </c>
      <c r="S50" s="2418">
        <f t="shared" si="27"/>
        <v>0</v>
      </c>
      <c r="T50" s="1383">
        <f t="shared" si="27"/>
        <v>0</v>
      </c>
      <c r="U50" s="1383">
        <f t="shared" si="27"/>
        <v>0</v>
      </c>
      <c r="V50" s="1384">
        <f t="shared" si="27"/>
        <v>0</v>
      </c>
    </row>
    <row r="51" spans="1:22" s="26" customFormat="1" ht="15" customHeight="1">
      <c r="A51" s="219"/>
      <c r="B51" s="834" t="s">
        <v>340</v>
      </c>
      <c r="C51" s="883"/>
      <c r="D51" s="2305"/>
      <c r="E51" s="861">
        <v>6639</v>
      </c>
      <c r="F51" s="207">
        <f>(E51*30.126)/1000</f>
        <v>200.00651399999998</v>
      </c>
      <c r="G51" s="1273"/>
      <c r="H51" s="38"/>
      <c r="I51" s="14"/>
      <c r="J51" s="14"/>
      <c r="K51" s="14"/>
      <c r="L51" s="14"/>
      <c r="M51" s="14"/>
      <c r="N51" s="14"/>
      <c r="O51" s="14"/>
      <c r="P51" s="1528"/>
      <c r="Q51" s="38"/>
      <c r="R51" s="39"/>
      <c r="S51" s="855"/>
      <c r="T51" s="14"/>
      <c r="U51" s="14"/>
      <c r="V51" s="207"/>
    </row>
    <row r="52" spans="1:22" s="25" customFormat="1" ht="15" customHeight="1" thickBot="1">
      <c r="A52" s="1385"/>
      <c r="B52" s="1073" t="s">
        <v>341</v>
      </c>
      <c r="C52" s="1296"/>
      <c r="D52" s="2368"/>
      <c r="E52" s="1836">
        <v>0</v>
      </c>
      <c r="F52" s="685">
        <f>(E52*30.126)/1000</f>
        <v>0</v>
      </c>
      <c r="G52" s="1279"/>
      <c r="H52" s="1280"/>
      <c r="I52" s="1281"/>
      <c r="J52" s="1281"/>
      <c r="K52" s="1281"/>
      <c r="L52" s="1281"/>
      <c r="M52" s="1281"/>
      <c r="N52" s="1281"/>
      <c r="O52" s="1281"/>
      <c r="P52" s="1646"/>
      <c r="Q52" s="1277"/>
      <c r="R52" s="1278"/>
      <c r="S52" s="2379"/>
      <c r="T52" s="1281"/>
      <c r="U52" s="1281"/>
      <c r="V52" s="1282"/>
    </row>
    <row r="53" spans="1:4" s="6" customFormat="1" ht="19.5" customHeight="1" thickBot="1">
      <c r="A53" s="16"/>
      <c r="C53" s="275"/>
      <c r="D53" s="275"/>
    </row>
    <row r="54" spans="1:22" s="23" customFormat="1" ht="39.75" customHeight="1" thickTop="1">
      <c r="A54" s="2884"/>
      <c r="B54" s="2885"/>
      <c r="C54" s="539" t="s">
        <v>506</v>
      </c>
      <c r="D54" s="2314" t="s">
        <v>507</v>
      </c>
      <c r="E54" s="2839" t="s">
        <v>184</v>
      </c>
      <c r="F54" s="2840"/>
      <c r="G54" s="460" t="s">
        <v>510</v>
      </c>
      <c r="H54" s="496" t="s">
        <v>510</v>
      </c>
      <c r="I54" s="497" t="s">
        <v>87</v>
      </c>
      <c r="J54" s="497" t="s">
        <v>87</v>
      </c>
      <c r="K54" s="2870" t="s">
        <v>509</v>
      </c>
      <c r="L54" s="2870"/>
      <c r="M54" s="2870" t="s">
        <v>508</v>
      </c>
      <c r="N54" s="2870"/>
      <c r="O54" s="498" t="s">
        <v>952</v>
      </c>
      <c r="P54" s="1571" t="s">
        <v>952</v>
      </c>
      <c r="Q54" s="2948" t="s">
        <v>183</v>
      </c>
      <c r="R54" s="2949"/>
      <c r="S54" s="2956" t="s">
        <v>725</v>
      </c>
      <c r="T54" s="2957"/>
      <c r="U54" s="2957" t="s">
        <v>726</v>
      </c>
      <c r="V54" s="2958"/>
    </row>
    <row r="55" spans="1:22" s="24" customFormat="1" ht="15" customHeight="1" thickBot="1">
      <c r="A55" s="2886"/>
      <c r="B55" s="2887"/>
      <c r="C55" s="540" t="s">
        <v>966</v>
      </c>
      <c r="D55" s="2315" t="s">
        <v>966</v>
      </c>
      <c r="E55" s="2318" t="s">
        <v>435</v>
      </c>
      <c r="F55" s="2234" t="s">
        <v>966</v>
      </c>
      <c r="G55" s="461" t="s">
        <v>435</v>
      </c>
      <c r="H55" s="352" t="s">
        <v>966</v>
      </c>
      <c r="I55" s="499" t="s">
        <v>435</v>
      </c>
      <c r="J55" s="499" t="s">
        <v>966</v>
      </c>
      <c r="K55" s="241" t="s">
        <v>435</v>
      </c>
      <c r="L55" s="241" t="s">
        <v>966</v>
      </c>
      <c r="M55" s="241" t="s">
        <v>435</v>
      </c>
      <c r="N55" s="241" t="s">
        <v>966</v>
      </c>
      <c r="O55" s="500" t="s">
        <v>435</v>
      </c>
      <c r="P55" s="1572" t="s">
        <v>966</v>
      </c>
      <c r="Q55" s="2250" t="s">
        <v>435</v>
      </c>
      <c r="R55" s="975" t="s">
        <v>966</v>
      </c>
      <c r="S55" s="797" t="s">
        <v>435</v>
      </c>
      <c r="T55" s="241" t="s">
        <v>966</v>
      </c>
      <c r="U55" s="241" t="s">
        <v>435</v>
      </c>
      <c r="V55" s="796" t="s">
        <v>966</v>
      </c>
    </row>
    <row r="56" spans="1:22" s="23" customFormat="1" ht="19.5" customHeight="1">
      <c r="A56" s="1341" t="s">
        <v>358</v>
      </c>
      <c r="B56" s="1342" t="s">
        <v>45</v>
      </c>
      <c r="C56" s="541" t="e">
        <f aca="true" t="shared" si="28" ref="C56:V56">C4+C35</f>
        <v>#REF!</v>
      </c>
      <c r="D56" s="1606" t="e">
        <f t="shared" si="28"/>
        <v>#REF!</v>
      </c>
      <c r="E56" s="2319">
        <f t="shared" si="28"/>
        <v>789683</v>
      </c>
      <c r="F56" s="2320">
        <f t="shared" si="28"/>
        <v>23789.990058</v>
      </c>
      <c r="G56" s="493">
        <f t="shared" si="28"/>
        <v>1814382</v>
      </c>
      <c r="H56" s="502">
        <f t="shared" si="28"/>
        <v>54660.072132</v>
      </c>
      <c r="I56" s="487">
        <f t="shared" si="28"/>
        <v>1814382</v>
      </c>
      <c r="J56" s="487">
        <f t="shared" si="28"/>
        <v>54660.072132</v>
      </c>
      <c r="K56" s="487">
        <f t="shared" si="28"/>
        <v>1772732</v>
      </c>
      <c r="L56" s="487">
        <f t="shared" si="28"/>
        <v>53405.324232</v>
      </c>
      <c r="M56" s="487">
        <f t="shared" si="28"/>
        <v>1772732</v>
      </c>
      <c r="N56" s="487">
        <f t="shared" si="28"/>
        <v>53405.324232</v>
      </c>
      <c r="O56" s="487">
        <f t="shared" si="28"/>
        <v>1814382</v>
      </c>
      <c r="P56" s="1606">
        <f t="shared" si="28"/>
        <v>54660.072132</v>
      </c>
      <c r="Q56" s="2389">
        <f t="shared" si="28"/>
        <v>1770276</v>
      </c>
      <c r="R56" s="2390">
        <f t="shared" si="28"/>
        <v>53331.334776</v>
      </c>
      <c r="S56" s="541">
        <f t="shared" si="28"/>
        <v>1770276</v>
      </c>
      <c r="T56" s="487">
        <f t="shared" si="28"/>
        <v>53331.334776</v>
      </c>
      <c r="U56" s="487">
        <f t="shared" si="28"/>
        <v>1770276</v>
      </c>
      <c r="V56" s="503">
        <f t="shared" si="28"/>
        <v>53331.334776</v>
      </c>
    </row>
    <row r="57" spans="1:22" s="30" customFormat="1" ht="15" customHeight="1">
      <c r="A57" s="1343"/>
      <c r="B57" s="1344" t="s">
        <v>965</v>
      </c>
      <c r="C57" s="542">
        <f aca="true" t="shared" si="29" ref="C57:V57">C5+C38</f>
        <v>8272</v>
      </c>
      <c r="D57" s="1607">
        <f t="shared" si="29"/>
        <v>16830</v>
      </c>
      <c r="E57" s="2321">
        <f t="shared" si="29"/>
        <v>773644</v>
      </c>
      <c r="F57" s="2322">
        <f t="shared" si="29"/>
        <v>23306.799144</v>
      </c>
      <c r="G57" s="494">
        <f t="shared" si="29"/>
        <v>793329</v>
      </c>
      <c r="H57" s="504">
        <f t="shared" si="29"/>
        <v>23899.829454</v>
      </c>
      <c r="I57" s="489">
        <f t="shared" si="29"/>
        <v>793329</v>
      </c>
      <c r="J57" s="489">
        <f t="shared" si="29"/>
        <v>23899.829454</v>
      </c>
      <c r="K57" s="489">
        <f t="shared" si="29"/>
        <v>751679</v>
      </c>
      <c r="L57" s="489">
        <f t="shared" si="29"/>
        <v>22645.081554</v>
      </c>
      <c r="M57" s="489">
        <f t="shared" si="29"/>
        <v>751679</v>
      </c>
      <c r="N57" s="489">
        <f t="shared" si="29"/>
        <v>22645.081554</v>
      </c>
      <c r="O57" s="489">
        <f t="shared" si="29"/>
        <v>793329</v>
      </c>
      <c r="P57" s="1607">
        <f t="shared" si="29"/>
        <v>23899.829454</v>
      </c>
      <c r="Q57" s="2419">
        <f t="shared" si="29"/>
        <v>749223</v>
      </c>
      <c r="R57" s="2420">
        <f t="shared" si="29"/>
        <v>22571.092098</v>
      </c>
      <c r="S57" s="542">
        <f t="shared" si="29"/>
        <v>749223</v>
      </c>
      <c r="T57" s="489">
        <f t="shared" si="29"/>
        <v>22571.092098</v>
      </c>
      <c r="U57" s="489">
        <f t="shared" si="29"/>
        <v>749223</v>
      </c>
      <c r="V57" s="505">
        <f t="shared" si="29"/>
        <v>22571.092098</v>
      </c>
    </row>
    <row r="58" spans="1:22" s="30" customFormat="1" ht="15" customHeight="1" thickBot="1">
      <c r="A58" s="1345"/>
      <c r="B58" s="1346" t="s">
        <v>967</v>
      </c>
      <c r="C58" s="543" t="e">
        <f aca="true" t="shared" si="30" ref="C58:V58">C21+C44</f>
        <v>#REF!</v>
      </c>
      <c r="D58" s="1608" t="e">
        <f t="shared" si="30"/>
        <v>#REF!</v>
      </c>
      <c r="E58" s="2323">
        <f t="shared" si="30"/>
        <v>16039</v>
      </c>
      <c r="F58" s="2324">
        <f t="shared" si="30"/>
        <v>483.19091399999996</v>
      </c>
      <c r="G58" s="495">
        <f t="shared" si="30"/>
        <v>1021053</v>
      </c>
      <c r="H58" s="506">
        <f t="shared" si="30"/>
        <v>30760.242678000002</v>
      </c>
      <c r="I58" s="491">
        <f t="shared" si="30"/>
        <v>1021053</v>
      </c>
      <c r="J58" s="491">
        <f t="shared" si="30"/>
        <v>30760.242678000002</v>
      </c>
      <c r="K58" s="491">
        <f t="shared" si="30"/>
        <v>1021053</v>
      </c>
      <c r="L58" s="491">
        <f t="shared" si="30"/>
        <v>30760.242678000002</v>
      </c>
      <c r="M58" s="491">
        <f t="shared" si="30"/>
        <v>1021053</v>
      </c>
      <c r="N58" s="491">
        <f t="shared" si="30"/>
        <v>30760.242678000002</v>
      </c>
      <c r="O58" s="491">
        <f t="shared" si="30"/>
        <v>1021053</v>
      </c>
      <c r="P58" s="1608">
        <f t="shared" si="30"/>
        <v>30760.242678000002</v>
      </c>
      <c r="Q58" s="2391">
        <f t="shared" si="30"/>
        <v>1021053</v>
      </c>
      <c r="R58" s="2392">
        <f t="shared" si="30"/>
        <v>30760.242678000002</v>
      </c>
      <c r="S58" s="543">
        <f t="shared" si="30"/>
        <v>1021053</v>
      </c>
      <c r="T58" s="491">
        <f t="shared" si="30"/>
        <v>30760.242678000002</v>
      </c>
      <c r="U58" s="491">
        <f t="shared" si="30"/>
        <v>1021053</v>
      </c>
      <c r="V58" s="507">
        <f t="shared" si="30"/>
        <v>30760.242678000002</v>
      </c>
    </row>
    <row r="61" spans="1:22" ht="12.75" hidden="1">
      <c r="A61" s="449" t="s">
        <v>277</v>
      </c>
      <c r="E61" s="6"/>
      <c r="F61" s="6"/>
      <c r="G61" s="6"/>
      <c r="H61" s="6"/>
      <c r="I61" s="6"/>
      <c r="J61" s="6"/>
      <c r="K61" s="6"/>
      <c r="L61" s="6"/>
      <c r="M61" s="6"/>
      <c r="N61" s="3"/>
      <c r="O61" s="6"/>
      <c r="P61" s="6"/>
      <c r="Q61" s="6"/>
      <c r="R61" s="6"/>
      <c r="S61" s="6"/>
      <c r="T61" s="6"/>
      <c r="U61" s="6"/>
      <c r="V61" s="6"/>
    </row>
    <row r="62" spans="1:22" ht="12.75" hidden="1">
      <c r="A62" s="12"/>
      <c r="B62" s="12" t="s">
        <v>278</v>
      </c>
      <c r="E62" s="6"/>
      <c r="F62" s="6"/>
      <c r="G62" s="6"/>
      <c r="H62" s="6"/>
      <c r="I62" s="6"/>
      <c r="J62" s="6"/>
      <c r="K62" s="6"/>
      <c r="L62" s="6"/>
      <c r="M62" s="6"/>
      <c r="N62" s="3"/>
      <c r="O62" s="265">
        <v>150000</v>
      </c>
      <c r="P62" s="265">
        <f>O62*30.126/1000</f>
        <v>4518.9</v>
      </c>
      <c r="Q62" s="265">
        <v>150000</v>
      </c>
      <c r="R62" s="265">
        <f>Q62*30.126/1000</f>
        <v>4518.9</v>
      </c>
      <c r="S62" s="265"/>
      <c r="T62" s="265"/>
      <c r="U62" s="265"/>
      <c r="V62" s="265"/>
    </row>
    <row r="63" ht="12.75" hidden="1"/>
    <row r="64" ht="12.75" hidden="1"/>
  </sheetData>
  <sheetProtection/>
  <mergeCells count="21">
    <mergeCell ref="M2:N2"/>
    <mergeCell ref="E2:F2"/>
    <mergeCell ref="A54:B55"/>
    <mergeCell ref="A2:B3"/>
    <mergeCell ref="A33:B34"/>
    <mergeCell ref="K54:L54"/>
    <mergeCell ref="S33:T33"/>
    <mergeCell ref="S54:T54"/>
    <mergeCell ref="M54:N54"/>
    <mergeCell ref="K33:L33"/>
    <mergeCell ref="M33:N33"/>
    <mergeCell ref="U2:V2"/>
    <mergeCell ref="U33:V33"/>
    <mergeCell ref="U54:V54"/>
    <mergeCell ref="E33:F33"/>
    <mergeCell ref="E54:F54"/>
    <mergeCell ref="Q2:R2"/>
    <mergeCell ref="Q33:R33"/>
    <mergeCell ref="Q54:R54"/>
    <mergeCell ref="K2:L2"/>
    <mergeCell ref="S2:T2"/>
  </mergeCells>
  <printOptions horizontalCentered="1"/>
  <pageMargins left="0" right="0.7874015748031497" top="1.1811023622047245" bottom="0.984251968503937" header="0" footer="0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V147"/>
  <sheetViews>
    <sheetView showGridLines="0" zoomScalePageLayoutView="0" workbookViewId="0" topLeftCell="A1">
      <pane xSplit="2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0" sqref="E50"/>
    </sheetView>
  </sheetViews>
  <sheetFormatPr defaultColWidth="9.140625" defaultRowHeight="12.75"/>
  <cols>
    <col min="1" max="1" width="7.7109375" style="12" customWidth="1"/>
    <col min="2" max="2" width="53.8515625" style="3" customWidth="1"/>
    <col min="3" max="4" width="10.7109375" style="52" hidden="1" customWidth="1"/>
    <col min="5" max="6" width="10.7109375" style="4" customWidth="1"/>
    <col min="7" max="12" width="10.7109375" style="4" hidden="1" customWidth="1"/>
    <col min="13" max="13" width="10.7109375" style="3" hidden="1" customWidth="1"/>
    <col min="14" max="16" width="10.7109375" style="4" hidden="1" customWidth="1"/>
    <col min="17" max="22" width="10.7109375" style="4" customWidth="1"/>
    <col min="23" max="16384" width="9.140625" style="3" customWidth="1"/>
  </cols>
  <sheetData>
    <row r="1" spans="1:18" ht="21" hidden="1" thickBot="1" thickTop="1">
      <c r="A1" s="237" t="s">
        <v>1122</v>
      </c>
      <c r="Q1" s="2487"/>
      <c r="R1" s="2488"/>
    </row>
    <row r="2" spans="1:22" s="30" customFormat="1" ht="39.75" customHeight="1">
      <c r="A2" s="2979"/>
      <c r="B2" s="2980"/>
      <c r="C2" s="798" t="s">
        <v>506</v>
      </c>
      <c r="D2" s="1519" t="s">
        <v>507</v>
      </c>
      <c r="E2" s="2890" t="s">
        <v>184</v>
      </c>
      <c r="F2" s="2891"/>
      <c r="G2" s="1173" t="s">
        <v>510</v>
      </c>
      <c r="H2" s="1166" t="s">
        <v>510</v>
      </c>
      <c r="I2" s="1002" t="s">
        <v>87</v>
      </c>
      <c r="J2" s="1002" t="s">
        <v>87</v>
      </c>
      <c r="K2" s="2870" t="s">
        <v>509</v>
      </c>
      <c r="L2" s="2870"/>
      <c r="M2" s="2870" t="s">
        <v>508</v>
      </c>
      <c r="N2" s="2870"/>
      <c r="O2" s="1003" t="s">
        <v>952</v>
      </c>
      <c r="P2" s="1546" t="s">
        <v>952</v>
      </c>
      <c r="Q2" s="2874" t="s">
        <v>183</v>
      </c>
      <c r="R2" s="2918"/>
      <c r="S2" s="2892" t="s">
        <v>725</v>
      </c>
      <c r="T2" s="2875"/>
      <c r="U2" s="2875" t="s">
        <v>726</v>
      </c>
      <c r="V2" s="2878"/>
    </row>
    <row r="3" spans="1:22" s="24" customFormat="1" ht="15" customHeight="1" thickBot="1">
      <c r="A3" s="2981"/>
      <c r="B3" s="2982"/>
      <c r="C3" s="777" t="s">
        <v>966</v>
      </c>
      <c r="D3" s="453" t="s">
        <v>966</v>
      </c>
      <c r="E3" s="768" t="s">
        <v>435</v>
      </c>
      <c r="F3" s="307" t="s">
        <v>966</v>
      </c>
      <c r="G3" s="571" t="s">
        <v>435</v>
      </c>
      <c r="H3" s="240" t="s">
        <v>966</v>
      </c>
      <c r="I3" s="1005" t="s">
        <v>435</v>
      </c>
      <c r="J3" s="1005" t="s">
        <v>966</v>
      </c>
      <c r="K3" s="241" t="s">
        <v>435</v>
      </c>
      <c r="L3" s="241" t="s">
        <v>966</v>
      </c>
      <c r="M3" s="241" t="s">
        <v>435</v>
      </c>
      <c r="N3" s="241" t="s">
        <v>966</v>
      </c>
      <c r="O3" s="1006" t="s">
        <v>435</v>
      </c>
      <c r="P3" s="1547" t="s">
        <v>966</v>
      </c>
      <c r="Q3" s="240" t="s">
        <v>435</v>
      </c>
      <c r="R3" s="981" t="s">
        <v>966</v>
      </c>
      <c r="S3" s="797" t="s">
        <v>435</v>
      </c>
      <c r="T3" s="241" t="s">
        <v>966</v>
      </c>
      <c r="U3" s="241" t="s">
        <v>435</v>
      </c>
      <c r="V3" s="796" t="s">
        <v>966</v>
      </c>
    </row>
    <row r="4" spans="1:22" s="21" customFormat="1" ht="19.5" customHeight="1">
      <c r="A4" s="110" t="s">
        <v>359</v>
      </c>
      <c r="B4" s="785" t="s">
        <v>1002</v>
      </c>
      <c r="C4" s="799">
        <f aca="true" t="shared" si="0" ref="C4:N4">C5+C61</f>
        <v>43375</v>
      </c>
      <c r="D4" s="1520">
        <f t="shared" si="0"/>
        <v>68336</v>
      </c>
      <c r="E4" s="850">
        <f t="shared" si="0"/>
        <v>1743836</v>
      </c>
      <c r="F4" s="665">
        <f t="shared" si="0"/>
        <v>52534.782735999994</v>
      </c>
      <c r="G4" s="530">
        <f t="shared" si="0"/>
        <v>2014672</v>
      </c>
      <c r="H4" s="242">
        <f t="shared" si="0"/>
        <v>58687.617071999994</v>
      </c>
      <c r="I4" s="243">
        <f t="shared" si="0"/>
        <v>1953812</v>
      </c>
      <c r="J4" s="243">
        <f t="shared" si="0"/>
        <v>58860.540312</v>
      </c>
      <c r="K4" s="243">
        <f t="shared" si="0"/>
        <v>3366092</v>
      </c>
      <c r="L4" s="243">
        <f t="shared" si="0"/>
        <v>99430.621992</v>
      </c>
      <c r="M4" s="243">
        <f t="shared" si="0"/>
        <v>3413882</v>
      </c>
      <c r="N4" s="243">
        <f t="shared" si="0"/>
        <v>100900.46953199999</v>
      </c>
      <c r="O4" s="243">
        <f aca="true" t="shared" si="1" ref="O4:V4">O5+O61</f>
        <v>1943242</v>
      </c>
      <c r="P4" s="1548">
        <f t="shared" si="1"/>
        <v>58542.108492</v>
      </c>
      <c r="Q4" s="242">
        <f t="shared" si="1"/>
        <v>1943881</v>
      </c>
      <c r="R4" s="763">
        <f t="shared" si="1"/>
        <v>58561.359006</v>
      </c>
      <c r="S4" s="2380">
        <f t="shared" si="1"/>
        <v>1943881</v>
      </c>
      <c r="T4" s="243">
        <f t="shared" si="1"/>
        <v>58561.359006</v>
      </c>
      <c r="U4" s="243">
        <f t="shared" si="1"/>
        <v>1943881</v>
      </c>
      <c r="V4" s="285">
        <f t="shared" si="1"/>
        <v>58561.359006</v>
      </c>
    </row>
    <row r="5" spans="1:22" s="1" customFormat="1" ht="19.5" customHeight="1">
      <c r="A5" s="111" t="s">
        <v>924</v>
      </c>
      <c r="B5" s="786" t="s">
        <v>926</v>
      </c>
      <c r="C5" s="800">
        <f aca="true" t="shared" si="2" ref="C5:N5">C6+C50</f>
        <v>42156</v>
      </c>
      <c r="D5" s="1521">
        <f t="shared" si="2"/>
        <v>65929</v>
      </c>
      <c r="E5" s="769">
        <f t="shared" si="2"/>
        <v>1602567</v>
      </c>
      <c r="F5" s="479">
        <f t="shared" si="2"/>
        <v>48278.91284199999</v>
      </c>
      <c r="G5" s="913">
        <f t="shared" si="2"/>
        <v>1948072</v>
      </c>
      <c r="H5" s="875">
        <f t="shared" si="2"/>
        <v>58687.617071999994</v>
      </c>
      <c r="I5" s="244">
        <f t="shared" si="2"/>
        <v>1887212</v>
      </c>
      <c r="J5" s="244">
        <f t="shared" si="2"/>
        <v>56854.148711999995</v>
      </c>
      <c r="K5" s="244">
        <f t="shared" si="2"/>
        <v>3300492</v>
      </c>
      <c r="L5" s="244">
        <f t="shared" si="2"/>
        <v>99430.621992</v>
      </c>
      <c r="M5" s="244">
        <f t="shared" si="2"/>
        <v>3349282</v>
      </c>
      <c r="N5" s="244">
        <f t="shared" si="2"/>
        <v>100900.46953199999</v>
      </c>
      <c r="O5" s="244">
        <f aca="true" t="shared" si="3" ref="O5:V5">O6+O50</f>
        <v>1879942</v>
      </c>
      <c r="P5" s="1549">
        <f t="shared" si="3"/>
        <v>56635.132692</v>
      </c>
      <c r="Q5" s="875">
        <f t="shared" si="3"/>
        <v>1880581</v>
      </c>
      <c r="R5" s="1505">
        <f t="shared" si="3"/>
        <v>56654.383206</v>
      </c>
      <c r="S5" s="2484">
        <f t="shared" si="3"/>
        <v>1880581</v>
      </c>
      <c r="T5" s="244">
        <f t="shared" si="3"/>
        <v>56654.383206</v>
      </c>
      <c r="U5" s="244">
        <f t="shared" si="3"/>
        <v>1880581</v>
      </c>
      <c r="V5" s="254">
        <f t="shared" si="3"/>
        <v>56654.383206</v>
      </c>
    </row>
    <row r="6" spans="1:22" s="1" customFormat="1" ht="19.5" customHeight="1">
      <c r="A6" s="112" t="s">
        <v>1003</v>
      </c>
      <c r="B6" s="787" t="s">
        <v>965</v>
      </c>
      <c r="C6" s="801">
        <f aca="true" t="shared" si="4" ref="C6:N6">C7+C22</f>
        <v>30816</v>
      </c>
      <c r="D6" s="1522">
        <f t="shared" si="4"/>
        <v>47812</v>
      </c>
      <c r="E6" s="770">
        <f t="shared" si="4"/>
        <v>1228573</v>
      </c>
      <c r="F6" s="480">
        <f t="shared" si="4"/>
        <v>37011.969597999996</v>
      </c>
      <c r="G6" s="464">
        <f t="shared" si="4"/>
        <v>1494872</v>
      </c>
      <c r="H6" s="245">
        <f t="shared" si="4"/>
        <v>45034.513871999996</v>
      </c>
      <c r="I6" s="246">
        <f t="shared" si="4"/>
        <v>1466612</v>
      </c>
      <c r="J6" s="246">
        <f t="shared" si="4"/>
        <v>44183.153112</v>
      </c>
      <c r="K6" s="246">
        <f t="shared" si="4"/>
        <v>1701692</v>
      </c>
      <c r="L6" s="246">
        <f t="shared" si="4"/>
        <v>51265.173191999995</v>
      </c>
      <c r="M6" s="246">
        <f t="shared" si="4"/>
        <v>1649282</v>
      </c>
      <c r="N6" s="246">
        <f t="shared" si="4"/>
        <v>49686.269532</v>
      </c>
      <c r="O6" s="246">
        <f>O7+O22</f>
        <v>1459342</v>
      </c>
      <c r="P6" s="1550">
        <f>P7+P22</f>
        <v>43964.137092</v>
      </c>
      <c r="Q6" s="245">
        <f>Q7+Q22</f>
        <v>1459981</v>
      </c>
      <c r="R6" s="764">
        <f>R7+R22</f>
        <v>43983.387606</v>
      </c>
      <c r="S6" s="2383">
        <v>1459981</v>
      </c>
      <c r="T6" s="246">
        <f>S6*30.126/1000</f>
        <v>43983.387606</v>
      </c>
      <c r="U6" s="246">
        <v>1459981</v>
      </c>
      <c r="V6" s="255">
        <f>U6*30.126/1000</f>
        <v>43983.387606</v>
      </c>
    </row>
    <row r="7" spans="1:22" ht="15" customHeight="1">
      <c r="A7" s="142" t="s">
        <v>1158</v>
      </c>
      <c r="B7" s="866" t="s">
        <v>1163</v>
      </c>
      <c r="C7" s="862">
        <f aca="true" t="shared" si="5" ref="C7:N7">C8+C9+C14+C15+C16+C17+C18+C19+C21</f>
        <v>1502</v>
      </c>
      <c r="D7" s="2476">
        <f t="shared" si="5"/>
        <v>3737</v>
      </c>
      <c r="E7" s="771">
        <f t="shared" si="5"/>
        <v>78647</v>
      </c>
      <c r="F7" s="185">
        <f t="shared" si="5"/>
        <v>2369.319522</v>
      </c>
      <c r="G7" s="465">
        <f t="shared" si="5"/>
        <v>67242</v>
      </c>
      <c r="H7" s="353">
        <f t="shared" si="5"/>
        <v>2025.732492</v>
      </c>
      <c r="I7" s="258">
        <f t="shared" si="5"/>
        <v>67242</v>
      </c>
      <c r="J7" s="258">
        <f t="shared" si="5"/>
        <v>2025.732492</v>
      </c>
      <c r="K7" s="258">
        <f t="shared" si="5"/>
        <v>67742</v>
      </c>
      <c r="L7" s="258">
        <f t="shared" si="5"/>
        <v>2040.795492</v>
      </c>
      <c r="M7" s="258">
        <f t="shared" si="5"/>
        <v>67742</v>
      </c>
      <c r="N7" s="258">
        <f t="shared" si="5"/>
        <v>2040.795492</v>
      </c>
      <c r="O7" s="258">
        <f>O8+O9+O14+O15+O16+O17+O18+O19+O21</f>
        <v>59972</v>
      </c>
      <c r="P7" s="1612">
        <f>P8+P9+P14+P15+P16+P17+P18+P19+P21</f>
        <v>1806.7164719999998</v>
      </c>
      <c r="Q7" s="984">
        <f>Q8+Q9+Q14+Q15+Q16+Q17+Q18+Q19+Q21</f>
        <v>59972</v>
      </c>
      <c r="R7" s="259">
        <f>R8+R9+R14+R15+R16+R17+R18+R19+R21</f>
        <v>1806.7164719999998</v>
      </c>
      <c r="S7" s="2289"/>
      <c r="T7" s="258"/>
      <c r="U7" s="258"/>
      <c r="V7" s="302"/>
    </row>
    <row r="8" spans="1:22" ht="15" customHeight="1">
      <c r="A8" s="114"/>
      <c r="B8" s="867" t="s">
        <v>366</v>
      </c>
      <c r="C8" s="803">
        <v>30</v>
      </c>
      <c r="D8" s="1524">
        <v>679</v>
      </c>
      <c r="E8" s="772">
        <v>2967</v>
      </c>
      <c r="F8" s="139">
        <f>(E8*30.126)/1000</f>
        <v>89.383842</v>
      </c>
      <c r="G8" s="446">
        <v>1000</v>
      </c>
      <c r="H8" s="354">
        <f>G8*30.126/1000</f>
        <v>30.126</v>
      </c>
      <c r="I8" s="249">
        <v>1000</v>
      </c>
      <c r="J8" s="249">
        <f>I8*30.126/1000</f>
        <v>30.126</v>
      </c>
      <c r="K8" s="249">
        <v>1000</v>
      </c>
      <c r="L8" s="249">
        <f>K8*30.126/1000</f>
        <v>30.126</v>
      </c>
      <c r="M8" s="249">
        <v>1000</v>
      </c>
      <c r="N8" s="249">
        <f>M8*30.126/1000</f>
        <v>30.126</v>
      </c>
      <c r="O8" s="249">
        <v>1000</v>
      </c>
      <c r="P8" s="1553">
        <f>O8*30.126/1000</f>
        <v>30.126</v>
      </c>
      <c r="Q8" s="985">
        <v>1000</v>
      </c>
      <c r="R8" s="986">
        <f>Q8*30.126/1000</f>
        <v>30.126</v>
      </c>
      <c r="S8" s="2291"/>
      <c r="T8" s="249"/>
      <c r="U8" s="249"/>
      <c r="V8" s="304"/>
    </row>
    <row r="9" spans="1:22" ht="15" customHeight="1">
      <c r="A9" s="143"/>
      <c r="B9" s="867" t="s">
        <v>367</v>
      </c>
      <c r="C9" s="803">
        <f aca="true" t="shared" si="6" ref="C9:N9">SUM(C10:C13)</f>
        <v>768</v>
      </c>
      <c r="D9" s="1524">
        <f t="shared" si="6"/>
        <v>684</v>
      </c>
      <c r="E9" s="2371">
        <f t="shared" si="6"/>
        <v>16732</v>
      </c>
      <c r="F9" s="227">
        <f t="shared" si="6"/>
        <v>504.06823199999997</v>
      </c>
      <c r="G9" s="563">
        <f t="shared" si="6"/>
        <v>16732</v>
      </c>
      <c r="H9" s="569">
        <f t="shared" si="6"/>
        <v>504.06823199999997</v>
      </c>
      <c r="I9" s="257">
        <f t="shared" si="6"/>
        <v>16732</v>
      </c>
      <c r="J9" s="257">
        <f t="shared" si="6"/>
        <v>504.06823199999997</v>
      </c>
      <c r="K9" s="257">
        <f t="shared" si="6"/>
        <v>16732</v>
      </c>
      <c r="L9" s="257">
        <f t="shared" si="6"/>
        <v>504.06823199999997</v>
      </c>
      <c r="M9" s="257">
        <f t="shared" si="6"/>
        <v>16732</v>
      </c>
      <c r="N9" s="257">
        <f t="shared" si="6"/>
        <v>504.06823199999997</v>
      </c>
      <c r="O9" s="257">
        <f>SUM(O10:O13)</f>
        <v>16732</v>
      </c>
      <c r="P9" s="1576">
        <f>SUM(P10:P13)</f>
        <v>504.06823199999997</v>
      </c>
      <c r="Q9" s="428">
        <f>SUM(Q10:Q13)</f>
        <v>16732</v>
      </c>
      <c r="R9" s="429">
        <f>SUM(R10:R13)</f>
        <v>504.06823199999997</v>
      </c>
      <c r="S9" s="2246"/>
      <c r="T9" s="257"/>
      <c r="U9" s="257"/>
      <c r="V9" s="311"/>
    </row>
    <row r="10" spans="1:22" ht="15" customHeight="1">
      <c r="A10" s="143"/>
      <c r="B10" s="791" t="s">
        <v>969</v>
      </c>
      <c r="C10" s="803">
        <v>395</v>
      </c>
      <c r="D10" s="1524">
        <v>311</v>
      </c>
      <c r="E10" s="772">
        <v>6410</v>
      </c>
      <c r="F10" s="139">
        <f>(E10*30.126)/1000</f>
        <v>193.10766</v>
      </c>
      <c r="G10" s="446">
        <v>6410</v>
      </c>
      <c r="H10" s="354">
        <f>G10*30.126/1000</f>
        <v>193.10766</v>
      </c>
      <c r="I10" s="249">
        <v>6410</v>
      </c>
      <c r="J10" s="249">
        <f>I10*30.126/1000</f>
        <v>193.10766</v>
      </c>
      <c r="K10" s="249">
        <v>6410</v>
      </c>
      <c r="L10" s="249">
        <f>K10*30.126/1000</f>
        <v>193.10766</v>
      </c>
      <c r="M10" s="249">
        <v>6410</v>
      </c>
      <c r="N10" s="249">
        <f>M10*30.126/1000</f>
        <v>193.10766</v>
      </c>
      <c r="O10" s="249">
        <v>6410</v>
      </c>
      <c r="P10" s="1553">
        <f>O10*30.126/1000</f>
        <v>193.10766</v>
      </c>
      <c r="Q10" s="985">
        <v>6410</v>
      </c>
      <c r="R10" s="986">
        <f>Q10*30.126/1000</f>
        <v>193.10766</v>
      </c>
      <c r="S10" s="2291"/>
      <c r="T10" s="249"/>
      <c r="U10" s="249"/>
      <c r="V10" s="304"/>
    </row>
    <row r="11" spans="1:22" ht="15" customHeight="1">
      <c r="A11" s="143"/>
      <c r="B11" s="791" t="s">
        <v>970</v>
      </c>
      <c r="C11" s="803"/>
      <c r="D11" s="1524">
        <v>16</v>
      </c>
      <c r="E11" s="772">
        <v>1028</v>
      </c>
      <c r="F11" s="139">
        <f>(E11*30.126)/1000</f>
        <v>30.969528</v>
      </c>
      <c r="G11" s="446">
        <v>1028</v>
      </c>
      <c r="H11" s="354">
        <f>G11*30.126/1000</f>
        <v>30.969528</v>
      </c>
      <c r="I11" s="249">
        <v>1028</v>
      </c>
      <c r="J11" s="249">
        <f>I11*30.126/1000</f>
        <v>30.969528</v>
      </c>
      <c r="K11" s="249">
        <v>1028</v>
      </c>
      <c r="L11" s="249">
        <f>K11*30.126/1000</f>
        <v>30.969528</v>
      </c>
      <c r="M11" s="249">
        <v>1028</v>
      </c>
      <c r="N11" s="249">
        <f>M11*30.126/1000</f>
        <v>30.969528</v>
      </c>
      <c r="O11" s="249">
        <v>1028</v>
      </c>
      <c r="P11" s="1553">
        <f>O11*30.126/1000</f>
        <v>30.969528</v>
      </c>
      <c r="Q11" s="985">
        <v>1028</v>
      </c>
      <c r="R11" s="986">
        <f>Q11*30.126/1000</f>
        <v>30.969528</v>
      </c>
      <c r="S11" s="2291"/>
      <c r="T11" s="249"/>
      <c r="U11" s="249"/>
      <c r="V11" s="304"/>
    </row>
    <row r="12" spans="1:22" ht="15" customHeight="1">
      <c r="A12" s="143"/>
      <c r="B12" s="791" t="s">
        <v>599</v>
      </c>
      <c r="C12" s="803">
        <v>77</v>
      </c>
      <c r="D12" s="1524">
        <v>357</v>
      </c>
      <c r="E12" s="2971">
        <v>9294</v>
      </c>
      <c r="F12" s="2973">
        <f>(E12*30.126)/1000</f>
        <v>279.991044</v>
      </c>
      <c r="G12" s="2975">
        <v>9294</v>
      </c>
      <c r="H12" s="2977">
        <f>G12*30.126/1000</f>
        <v>279.991044</v>
      </c>
      <c r="I12" s="2967">
        <v>9294</v>
      </c>
      <c r="J12" s="2967">
        <f>I12*30.126/1000</f>
        <v>279.991044</v>
      </c>
      <c r="K12" s="2967">
        <v>9294</v>
      </c>
      <c r="L12" s="2967">
        <f>K12*30.126/1000</f>
        <v>279.991044</v>
      </c>
      <c r="M12" s="2967">
        <v>9294</v>
      </c>
      <c r="N12" s="2967">
        <f>M12*30.126/1000</f>
        <v>279.991044</v>
      </c>
      <c r="O12" s="2967">
        <v>9294</v>
      </c>
      <c r="P12" s="2969">
        <f>O12*30.126/1000</f>
        <v>279.991044</v>
      </c>
      <c r="Q12" s="2983">
        <v>9294</v>
      </c>
      <c r="R12" s="2987">
        <f>Q12*30.126/1000</f>
        <v>279.991044</v>
      </c>
      <c r="S12" s="2989"/>
      <c r="T12" s="2967"/>
      <c r="U12" s="2967"/>
      <c r="V12" s="2985"/>
    </row>
    <row r="13" spans="1:22" ht="15" customHeight="1">
      <c r="A13" s="143"/>
      <c r="B13" s="791" t="s">
        <v>598</v>
      </c>
      <c r="C13" s="803">
        <v>296</v>
      </c>
      <c r="D13" s="1524"/>
      <c r="E13" s="2972"/>
      <c r="F13" s="2974"/>
      <c r="G13" s="2976"/>
      <c r="H13" s="2978"/>
      <c r="I13" s="2968"/>
      <c r="J13" s="2968"/>
      <c r="K13" s="2968"/>
      <c r="L13" s="2968"/>
      <c r="M13" s="2968"/>
      <c r="N13" s="2968"/>
      <c r="O13" s="2968"/>
      <c r="P13" s="2970"/>
      <c r="Q13" s="2984"/>
      <c r="R13" s="2988"/>
      <c r="S13" s="2990"/>
      <c r="T13" s="2968"/>
      <c r="U13" s="2968"/>
      <c r="V13" s="2986"/>
    </row>
    <row r="14" spans="1:22" ht="15" customHeight="1">
      <c r="A14" s="143"/>
      <c r="B14" s="867" t="s">
        <v>368</v>
      </c>
      <c r="C14" s="803">
        <v>25</v>
      </c>
      <c r="D14" s="1524">
        <v>14</v>
      </c>
      <c r="E14" s="772">
        <v>1500</v>
      </c>
      <c r="F14" s="139">
        <f aca="true" t="shared" si="7" ref="F14:F21">(E14*30.126)/1000</f>
        <v>45.189</v>
      </c>
      <c r="G14" s="446">
        <v>2500</v>
      </c>
      <c r="H14" s="354">
        <f aca="true" t="shared" si="8" ref="H14:H19">G14*30.126/1000</f>
        <v>75.315</v>
      </c>
      <c r="I14" s="249">
        <v>2500</v>
      </c>
      <c r="J14" s="249">
        <f aca="true" t="shared" si="9" ref="J14:J19">I14*30.126/1000</f>
        <v>75.315</v>
      </c>
      <c r="K14" s="249">
        <v>2500</v>
      </c>
      <c r="L14" s="249">
        <f aca="true" t="shared" si="10" ref="L14:L19">K14*30.126/1000</f>
        <v>75.315</v>
      </c>
      <c r="M14" s="249">
        <v>2500</v>
      </c>
      <c r="N14" s="249">
        <f aca="true" t="shared" si="11" ref="N14:N19">M14*30.126/1000</f>
        <v>75.315</v>
      </c>
      <c r="O14" s="249">
        <v>2500</v>
      </c>
      <c r="P14" s="1553">
        <f aca="true" t="shared" si="12" ref="P14:R19">O14*30.126/1000</f>
        <v>75.315</v>
      </c>
      <c r="Q14" s="985">
        <v>2500</v>
      </c>
      <c r="R14" s="986">
        <f t="shared" si="12"/>
        <v>75.315</v>
      </c>
      <c r="S14" s="2291"/>
      <c r="T14" s="249"/>
      <c r="U14" s="249"/>
      <c r="V14" s="304"/>
    </row>
    <row r="15" spans="1:22" ht="15" customHeight="1">
      <c r="A15" s="143"/>
      <c r="B15" s="867" t="s">
        <v>369</v>
      </c>
      <c r="C15" s="803">
        <v>245</v>
      </c>
      <c r="D15" s="1524">
        <v>289</v>
      </c>
      <c r="E15" s="772">
        <v>10788</v>
      </c>
      <c r="F15" s="139">
        <f t="shared" si="7"/>
        <v>324.999288</v>
      </c>
      <c r="G15" s="446">
        <v>10750</v>
      </c>
      <c r="H15" s="354">
        <f t="shared" si="8"/>
        <v>323.8545</v>
      </c>
      <c r="I15" s="249">
        <v>10750</v>
      </c>
      <c r="J15" s="249">
        <f t="shared" si="9"/>
        <v>323.8545</v>
      </c>
      <c r="K15" s="249">
        <v>10750</v>
      </c>
      <c r="L15" s="249">
        <f t="shared" si="10"/>
        <v>323.8545</v>
      </c>
      <c r="M15" s="249">
        <v>10750</v>
      </c>
      <c r="N15" s="249">
        <f t="shared" si="11"/>
        <v>323.8545</v>
      </c>
      <c r="O15" s="249">
        <v>10750</v>
      </c>
      <c r="P15" s="1553">
        <f t="shared" si="12"/>
        <v>323.8545</v>
      </c>
      <c r="Q15" s="985">
        <v>10750</v>
      </c>
      <c r="R15" s="986">
        <f t="shared" si="12"/>
        <v>323.8545</v>
      </c>
      <c r="S15" s="2291"/>
      <c r="T15" s="249"/>
      <c r="U15" s="249"/>
      <c r="V15" s="304"/>
    </row>
    <row r="16" spans="1:22" ht="15" customHeight="1">
      <c r="A16" s="121"/>
      <c r="B16" s="867" t="s">
        <v>370</v>
      </c>
      <c r="C16" s="803">
        <v>74</v>
      </c>
      <c r="D16" s="1524">
        <v>610</v>
      </c>
      <c r="E16" s="772">
        <v>8850</v>
      </c>
      <c r="F16" s="139">
        <f t="shared" si="7"/>
        <v>266.61510000000004</v>
      </c>
      <c r="G16" s="446">
        <v>8000</v>
      </c>
      <c r="H16" s="354">
        <f t="shared" si="8"/>
        <v>241.008</v>
      </c>
      <c r="I16" s="249">
        <v>8000</v>
      </c>
      <c r="J16" s="249">
        <f t="shared" si="9"/>
        <v>241.008</v>
      </c>
      <c r="K16" s="249">
        <v>8000</v>
      </c>
      <c r="L16" s="249">
        <f t="shared" si="10"/>
        <v>241.008</v>
      </c>
      <c r="M16" s="249">
        <v>8000</v>
      </c>
      <c r="N16" s="249">
        <f t="shared" si="11"/>
        <v>241.008</v>
      </c>
      <c r="O16" s="249">
        <v>8000</v>
      </c>
      <c r="P16" s="1553">
        <f t="shared" si="12"/>
        <v>241.008</v>
      </c>
      <c r="Q16" s="985">
        <v>8000</v>
      </c>
      <c r="R16" s="986">
        <f t="shared" si="12"/>
        <v>241.008</v>
      </c>
      <c r="S16" s="2291"/>
      <c r="T16" s="249"/>
      <c r="U16" s="249"/>
      <c r="V16" s="304"/>
    </row>
    <row r="17" spans="1:22" ht="15" customHeight="1">
      <c r="A17" s="143"/>
      <c r="B17" s="867" t="s">
        <v>371</v>
      </c>
      <c r="C17" s="803">
        <v>256</v>
      </c>
      <c r="D17" s="1524">
        <v>490</v>
      </c>
      <c r="E17" s="772">
        <v>19000</v>
      </c>
      <c r="F17" s="139">
        <f t="shared" si="7"/>
        <v>572.394</v>
      </c>
      <c r="G17" s="446">
        <v>26100</v>
      </c>
      <c r="H17" s="354">
        <f t="shared" si="8"/>
        <v>786.2886</v>
      </c>
      <c r="I17" s="249">
        <v>26100</v>
      </c>
      <c r="J17" s="249">
        <f t="shared" si="9"/>
        <v>786.2886</v>
      </c>
      <c r="K17" s="249">
        <v>26600</v>
      </c>
      <c r="L17" s="249">
        <f t="shared" si="10"/>
        <v>801.3516</v>
      </c>
      <c r="M17" s="249">
        <v>26600</v>
      </c>
      <c r="N17" s="249">
        <f t="shared" si="11"/>
        <v>801.3516</v>
      </c>
      <c r="O17" s="249">
        <v>19000</v>
      </c>
      <c r="P17" s="1553">
        <f t="shared" si="12"/>
        <v>572.394</v>
      </c>
      <c r="Q17" s="985">
        <v>19000</v>
      </c>
      <c r="R17" s="986">
        <f t="shared" si="12"/>
        <v>572.394</v>
      </c>
      <c r="S17" s="2291"/>
      <c r="T17" s="249"/>
      <c r="U17" s="249"/>
      <c r="V17" s="304"/>
    </row>
    <row r="18" spans="1:22" ht="15" customHeight="1">
      <c r="A18" s="143"/>
      <c r="B18" s="867" t="s">
        <v>656</v>
      </c>
      <c r="C18" s="803">
        <v>1</v>
      </c>
      <c r="D18" s="1524">
        <v>6</v>
      </c>
      <c r="E18" s="772">
        <v>400</v>
      </c>
      <c r="F18" s="139">
        <f t="shared" si="7"/>
        <v>12.0504</v>
      </c>
      <c r="G18" s="446">
        <v>500</v>
      </c>
      <c r="H18" s="354">
        <f t="shared" si="8"/>
        <v>15.063</v>
      </c>
      <c r="I18" s="249">
        <v>500</v>
      </c>
      <c r="J18" s="249">
        <f t="shared" si="9"/>
        <v>15.063</v>
      </c>
      <c r="K18" s="249">
        <v>500</v>
      </c>
      <c r="L18" s="249">
        <f t="shared" si="10"/>
        <v>15.063</v>
      </c>
      <c r="M18" s="249">
        <v>500</v>
      </c>
      <c r="N18" s="249">
        <f t="shared" si="11"/>
        <v>15.063</v>
      </c>
      <c r="O18" s="249">
        <v>330</v>
      </c>
      <c r="P18" s="1553">
        <f t="shared" si="12"/>
        <v>9.94158</v>
      </c>
      <c r="Q18" s="985">
        <v>330</v>
      </c>
      <c r="R18" s="986">
        <f t="shared" si="12"/>
        <v>9.94158</v>
      </c>
      <c r="S18" s="2291"/>
      <c r="T18" s="249"/>
      <c r="U18" s="249"/>
      <c r="V18" s="304"/>
    </row>
    <row r="19" spans="1:22" ht="15" customHeight="1">
      <c r="A19" s="121"/>
      <c r="B19" s="867" t="s">
        <v>372</v>
      </c>
      <c r="C19" s="803">
        <v>44</v>
      </c>
      <c r="D19" s="1524">
        <v>65</v>
      </c>
      <c r="E19" s="772">
        <v>1660</v>
      </c>
      <c r="F19" s="139">
        <f t="shared" si="7"/>
        <v>50.00916</v>
      </c>
      <c r="G19" s="446">
        <v>1660</v>
      </c>
      <c r="H19" s="354">
        <f t="shared" si="8"/>
        <v>50.00916</v>
      </c>
      <c r="I19" s="249">
        <v>1660</v>
      </c>
      <c r="J19" s="249">
        <f t="shared" si="9"/>
        <v>50.00916</v>
      </c>
      <c r="K19" s="249">
        <v>1660</v>
      </c>
      <c r="L19" s="249">
        <f t="shared" si="10"/>
        <v>50.00916</v>
      </c>
      <c r="M19" s="249">
        <v>1660</v>
      </c>
      <c r="N19" s="249">
        <f t="shared" si="11"/>
        <v>50.00916</v>
      </c>
      <c r="O19" s="249">
        <v>1660</v>
      </c>
      <c r="P19" s="1553">
        <f t="shared" si="12"/>
        <v>50.00916</v>
      </c>
      <c r="Q19" s="985">
        <v>1660</v>
      </c>
      <c r="R19" s="986">
        <f t="shared" si="12"/>
        <v>50.00916</v>
      </c>
      <c r="S19" s="2291"/>
      <c r="T19" s="249"/>
      <c r="U19" s="249"/>
      <c r="V19" s="304"/>
    </row>
    <row r="20" spans="1:22" ht="15" customHeight="1" hidden="1">
      <c r="A20" s="121"/>
      <c r="B20" s="867" t="s">
        <v>606</v>
      </c>
      <c r="C20" s="803"/>
      <c r="D20" s="1524"/>
      <c r="E20" s="772"/>
      <c r="F20" s="139">
        <f t="shared" si="7"/>
        <v>0</v>
      </c>
      <c r="G20" s="446"/>
      <c r="H20" s="354"/>
      <c r="I20" s="249"/>
      <c r="J20" s="249"/>
      <c r="K20" s="249"/>
      <c r="L20" s="249"/>
      <c r="M20" s="249"/>
      <c r="N20" s="249"/>
      <c r="O20" s="249"/>
      <c r="P20" s="1553"/>
      <c r="Q20" s="985"/>
      <c r="R20" s="986"/>
      <c r="S20" s="2291"/>
      <c r="T20" s="249"/>
      <c r="U20" s="249"/>
      <c r="V20" s="304"/>
    </row>
    <row r="21" spans="1:22" ht="15" customHeight="1">
      <c r="A21" s="144"/>
      <c r="B21" s="867" t="s">
        <v>373</v>
      </c>
      <c r="C21" s="803">
        <v>59</v>
      </c>
      <c r="D21" s="1524">
        <v>900</v>
      </c>
      <c r="E21" s="772">
        <v>16750</v>
      </c>
      <c r="F21" s="139">
        <f t="shared" si="7"/>
        <v>504.6105</v>
      </c>
      <c r="G21" s="446"/>
      <c r="H21" s="354"/>
      <c r="I21" s="249"/>
      <c r="J21" s="249"/>
      <c r="K21" s="249"/>
      <c r="L21" s="249"/>
      <c r="M21" s="249"/>
      <c r="N21" s="249"/>
      <c r="O21" s="249"/>
      <c r="P21" s="1553"/>
      <c r="Q21" s="985"/>
      <c r="R21" s="986"/>
      <c r="S21" s="2291"/>
      <c r="T21" s="249"/>
      <c r="U21" s="249"/>
      <c r="V21" s="304"/>
    </row>
    <row r="22" spans="1:22" ht="15" customHeight="1">
      <c r="A22" s="145" t="s">
        <v>1159</v>
      </c>
      <c r="B22" s="868" t="s">
        <v>600</v>
      </c>
      <c r="C22" s="855">
        <f>C23+C30+C31+C32+C33+C34+C35+C40+C47+C49</f>
        <v>29314</v>
      </c>
      <c r="D22" s="1528">
        <f>D23+D30+D33+D35+D40+D47+D49</f>
        <v>44075</v>
      </c>
      <c r="E22" s="772">
        <f>E23+E30+E33+E35+E40+E47+E49</f>
        <v>1149926</v>
      </c>
      <c r="F22" s="139">
        <f>F23+F30+F33+F35+F40+F47+F49</f>
        <v>34642.650076</v>
      </c>
      <c r="G22" s="446">
        <f aca="true" t="shared" si="13" ref="G22:N22">G23+G30+G33+G35+G40+G47+G48+G49</f>
        <v>1427630</v>
      </c>
      <c r="H22" s="354">
        <f t="shared" si="13"/>
        <v>43008.78137999999</v>
      </c>
      <c r="I22" s="249">
        <f t="shared" si="13"/>
        <v>1399370</v>
      </c>
      <c r="J22" s="249">
        <f t="shared" si="13"/>
        <v>42157.42062</v>
      </c>
      <c r="K22" s="249">
        <f t="shared" si="13"/>
        <v>1633950</v>
      </c>
      <c r="L22" s="249">
        <f t="shared" si="13"/>
        <v>49224.3777</v>
      </c>
      <c r="M22" s="249">
        <f t="shared" si="13"/>
        <v>1581540</v>
      </c>
      <c r="N22" s="249">
        <f t="shared" si="13"/>
        <v>47645.47404</v>
      </c>
      <c r="O22" s="249">
        <f>O23+O30+O33+O35+O40+O47+O48+O49</f>
        <v>1399370</v>
      </c>
      <c r="P22" s="1553">
        <f>P23+P30+P33+P35+P40+P47+P48+P49</f>
        <v>42157.42062</v>
      </c>
      <c r="Q22" s="985">
        <f>Q23+Q30+Q33+Q35+Q40+Q47+Q48+Q49</f>
        <v>1400009</v>
      </c>
      <c r="R22" s="986">
        <f>R23+R30+R33+R35+R40+R47+R48+R49</f>
        <v>42176.671134</v>
      </c>
      <c r="S22" s="2291"/>
      <c r="T22" s="249"/>
      <c r="U22" s="249"/>
      <c r="V22" s="304"/>
    </row>
    <row r="23" spans="1:22" ht="15" customHeight="1">
      <c r="A23" s="121"/>
      <c r="B23" s="867" t="s">
        <v>374</v>
      </c>
      <c r="C23" s="855">
        <f aca="true" t="shared" si="14" ref="C23:N23">SUM(C24:C29)</f>
        <v>11205</v>
      </c>
      <c r="D23" s="1528">
        <f t="shared" si="14"/>
        <v>11878</v>
      </c>
      <c r="E23" s="772">
        <f t="shared" si="14"/>
        <v>401897</v>
      </c>
      <c r="F23" s="139">
        <f t="shared" si="14"/>
        <v>12107.549022</v>
      </c>
      <c r="G23" s="446">
        <f t="shared" si="14"/>
        <v>541750</v>
      </c>
      <c r="H23" s="354">
        <f t="shared" si="14"/>
        <v>16320.760499999999</v>
      </c>
      <c r="I23" s="249">
        <f t="shared" si="14"/>
        <v>541750</v>
      </c>
      <c r="J23" s="249">
        <f t="shared" si="14"/>
        <v>16320.760499999999</v>
      </c>
      <c r="K23" s="249">
        <f t="shared" si="14"/>
        <v>565290</v>
      </c>
      <c r="L23" s="249">
        <f t="shared" si="14"/>
        <v>17029.926539999997</v>
      </c>
      <c r="M23" s="249">
        <f t="shared" si="14"/>
        <v>593000</v>
      </c>
      <c r="N23" s="249">
        <f t="shared" si="14"/>
        <v>17864.718</v>
      </c>
      <c r="O23" s="249">
        <f>SUM(O24:O29)</f>
        <v>541750</v>
      </c>
      <c r="P23" s="1553">
        <f>SUM(P24:P29)</f>
        <v>16320.760499999999</v>
      </c>
      <c r="Q23" s="985">
        <f>SUM(Q24:Q29)</f>
        <v>541750</v>
      </c>
      <c r="R23" s="986">
        <f>SUM(R24:R29)</f>
        <v>16320.760499999999</v>
      </c>
      <c r="S23" s="2291"/>
      <c r="T23" s="249"/>
      <c r="U23" s="249"/>
      <c r="V23" s="304"/>
    </row>
    <row r="24" spans="1:22" ht="15" customHeight="1">
      <c r="A24" s="120"/>
      <c r="B24" s="791" t="s">
        <v>971</v>
      </c>
      <c r="C24" s="803">
        <v>1711</v>
      </c>
      <c r="D24" s="1524">
        <v>1608</v>
      </c>
      <c r="E24" s="772">
        <v>61300</v>
      </c>
      <c r="F24" s="139">
        <f>(E24*30.126)/1000</f>
        <v>1846.7238</v>
      </c>
      <c r="G24" s="446">
        <v>146010</v>
      </c>
      <c r="H24" s="354">
        <f>G24*30.126/1000</f>
        <v>4398.69726</v>
      </c>
      <c r="I24" s="249">
        <v>146010</v>
      </c>
      <c r="J24" s="249">
        <f aca="true" t="shared" si="15" ref="J24:J33">I24*30.126/1000</f>
        <v>4398.69726</v>
      </c>
      <c r="K24" s="249">
        <v>150390</v>
      </c>
      <c r="L24" s="249">
        <f>K24*30.126/1000</f>
        <v>4530.64914</v>
      </c>
      <c r="M24" s="249">
        <v>154900</v>
      </c>
      <c r="N24" s="249">
        <f>M24*30.126/1000</f>
        <v>4666.517400000001</v>
      </c>
      <c r="O24" s="249">
        <v>146010</v>
      </c>
      <c r="P24" s="1553">
        <f aca="true" t="shared" si="16" ref="P24:R33">O24*30.126/1000</f>
        <v>4398.69726</v>
      </c>
      <c r="Q24" s="985">
        <v>146010</v>
      </c>
      <c r="R24" s="986">
        <f t="shared" si="16"/>
        <v>4398.69726</v>
      </c>
      <c r="S24" s="2291"/>
      <c r="T24" s="249"/>
      <c r="U24" s="249"/>
      <c r="V24" s="304"/>
    </row>
    <row r="25" spans="1:22" ht="15" customHeight="1" hidden="1">
      <c r="A25" s="120"/>
      <c r="B25" s="791" t="s">
        <v>985</v>
      </c>
      <c r="C25" s="803"/>
      <c r="D25" s="1524"/>
      <c r="E25" s="772"/>
      <c r="F25" s="139"/>
      <c r="G25" s="446"/>
      <c r="H25" s="354"/>
      <c r="I25" s="249"/>
      <c r="J25" s="249">
        <f t="shared" si="15"/>
        <v>0</v>
      </c>
      <c r="K25" s="249"/>
      <c r="L25" s="249"/>
      <c r="M25" s="249"/>
      <c r="N25" s="249"/>
      <c r="O25" s="249"/>
      <c r="P25" s="1553">
        <f t="shared" si="16"/>
        <v>0</v>
      </c>
      <c r="Q25" s="985"/>
      <c r="R25" s="986">
        <f t="shared" si="16"/>
        <v>0</v>
      </c>
      <c r="S25" s="2291"/>
      <c r="T25" s="249"/>
      <c r="U25" s="249"/>
      <c r="V25" s="304"/>
    </row>
    <row r="26" spans="1:22" ht="15" customHeight="1">
      <c r="A26" s="120"/>
      <c r="B26" s="791" t="s">
        <v>972</v>
      </c>
      <c r="C26" s="803">
        <v>114</v>
      </c>
      <c r="D26" s="1524">
        <v>115</v>
      </c>
      <c r="E26" s="772">
        <v>3546</v>
      </c>
      <c r="F26" s="139">
        <f aca="true" t="shared" si="17" ref="F26:F33">(E26*30.126)/1000</f>
        <v>106.826796</v>
      </c>
      <c r="G26" s="446">
        <v>3160</v>
      </c>
      <c r="H26" s="354">
        <f>G26*30.126/1000</f>
        <v>95.19816</v>
      </c>
      <c r="I26" s="249">
        <v>3160</v>
      </c>
      <c r="J26" s="249">
        <f t="shared" si="15"/>
        <v>95.19816</v>
      </c>
      <c r="K26" s="249">
        <v>3160</v>
      </c>
      <c r="L26" s="249">
        <f>K26*30.126/1000</f>
        <v>95.19816</v>
      </c>
      <c r="M26" s="249">
        <v>3160</v>
      </c>
      <c r="N26" s="249">
        <f>M26*30.126/1000</f>
        <v>95.19816</v>
      </c>
      <c r="O26" s="249">
        <v>3160</v>
      </c>
      <c r="P26" s="1553">
        <f t="shared" si="16"/>
        <v>95.19816</v>
      </c>
      <c r="Q26" s="985">
        <v>3160</v>
      </c>
      <c r="R26" s="986">
        <f t="shared" si="16"/>
        <v>95.19816</v>
      </c>
      <c r="S26" s="2291"/>
      <c r="T26" s="249"/>
      <c r="U26" s="249"/>
      <c r="V26" s="304"/>
    </row>
    <row r="27" spans="1:22" ht="15" customHeight="1">
      <c r="A27" s="120"/>
      <c r="B27" s="791" t="s">
        <v>973</v>
      </c>
      <c r="C27" s="803">
        <v>7447</v>
      </c>
      <c r="D27" s="1524">
        <v>7860</v>
      </c>
      <c r="E27" s="772">
        <v>260904</v>
      </c>
      <c r="F27" s="139">
        <f t="shared" si="17"/>
        <v>7859.993904</v>
      </c>
      <c r="G27" s="446">
        <v>308090</v>
      </c>
      <c r="H27" s="354">
        <f>G27*30.126/1000</f>
        <v>9281.51934</v>
      </c>
      <c r="I27" s="249">
        <v>308090</v>
      </c>
      <c r="J27" s="249">
        <f t="shared" si="15"/>
        <v>9281.51934</v>
      </c>
      <c r="K27" s="249">
        <v>323440</v>
      </c>
      <c r="L27" s="249">
        <f>K27*30.126/1000</f>
        <v>9743.95344</v>
      </c>
      <c r="M27" s="249">
        <v>341290</v>
      </c>
      <c r="N27" s="249">
        <f>M27*30.126/1000</f>
        <v>10281.70254</v>
      </c>
      <c r="O27" s="249">
        <v>308090</v>
      </c>
      <c r="P27" s="1553">
        <f t="shared" si="16"/>
        <v>9281.51934</v>
      </c>
      <c r="Q27" s="985">
        <v>308090</v>
      </c>
      <c r="R27" s="986">
        <f t="shared" si="16"/>
        <v>9281.51934</v>
      </c>
      <c r="S27" s="2291"/>
      <c r="T27" s="249"/>
      <c r="U27" s="249"/>
      <c r="V27" s="304"/>
    </row>
    <row r="28" spans="1:22" ht="15" customHeight="1">
      <c r="A28" s="120"/>
      <c r="B28" s="791" t="s">
        <v>1214</v>
      </c>
      <c r="C28" s="803">
        <v>1338</v>
      </c>
      <c r="D28" s="1524">
        <v>1634</v>
      </c>
      <c r="E28" s="772">
        <v>54239</v>
      </c>
      <c r="F28" s="139">
        <f t="shared" si="17"/>
        <v>1634.004114</v>
      </c>
      <c r="G28" s="446">
        <v>55930</v>
      </c>
      <c r="H28" s="354">
        <f>G28*30.126/1000</f>
        <v>1684.9471800000001</v>
      </c>
      <c r="I28" s="249">
        <v>55930</v>
      </c>
      <c r="J28" s="249">
        <f t="shared" si="15"/>
        <v>1684.9471800000001</v>
      </c>
      <c r="K28" s="249">
        <v>58310</v>
      </c>
      <c r="L28" s="249">
        <f>K28*30.126/1000</f>
        <v>1756.64706</v>
      </c>
      <c r="M28" s="249">
        <v>62000</v>
      </c>
      <c r="N28" s="249">
        <f>M28*30.126/1000</f>
        <v>1867.812</v>
      </c>
      <c r="O28" s="249">
        <v>55930</v>
      </c>
      <c r="P28" s="1553">
        <f t="shared" si="16"/>
        <v>1684.9471800000001</v>
      </c>
      <c r="Q28" s="985">
        <v>55930</v>
      </c>
      <c r="R28" s="986">
        <f t="shared" si="16"/>
        <v>1684.9471800000001</v>
      </c>
      <c r="S28" s="2291"/>
      <c r="T28" s="249"/>
      <c r="U28" s="249"/>
      <c r="V28" s="304"/>
    </row>
    <row r="29" spans="1:22" ht="15" customHeight="1">
      <c r="A29" s="120"/>
      <c r="B29" s="791" t="s">
        <v>974</v>
      </c>
      <c r="C29" s="803">
        <v>595</v>
      </c>
      <c r="D29" s="1524">
        <v>661</v>
      </c>
      <c r="E29" s="772">
        <v>21908</v>
      </c>
      <c r="F29" s="139">
        <f t="shared" si="17"/>
        <v>660.0004080000001</v>
      </c>
      <c r="G29" s="446">
        <v>28560</v>
      </c>
      <c r="H29" s="354">
        <f>G29*30.126/1000</f>
        <v>860.3985600000001</v>
      </c>
      <c r="I29" s="249">
        <v>28560</v>
      </c>
      <c r="J29" s="249">
        <f t="shared" si="15"/>
        <v>860.3985600000001</v>
      </c>
      <c r="K29" s="249">
        <v>29990</v>
      </c>
      <c r="L29" s="249">
        <f>K29*30.126/1000</f>
        <v>903.47874</v>
      </c>
      <c r="M29" s="249">
        <v>31650</v>
      </c>
      <c r="N29" s="249">
        <f>M29*30.126/1000</f>
        <v>953.4879</v>
      </c>
      <c r="O29" s="249">
        <v>28560</v>
      </c>
      <c r="P29" s="1553">
        <f t="shared" si="16"/>
        <v>860.3985600000001</v>
      </c>
      <c r="Q29" s="985">
        <v>28560</v>
      </c>
      <c r="R29" s="986">
        <f t="shared" si="16"/>
        <v>860.3985600000001</v>
      </c>
      <c r="S29" s="2291"/>
      <c r="T29" s="249"/>
      <c r="U29" s="249"/>
      <c r="V29" s="304"/>
    </row>
    <row r="30" spans="1:22" ht="15" customHeight="1">
      <c r="A30" s="115"/>
      <c r="B30" s="867" t="s">
        <v>375</v>
      </c>
      <c r="C30" s="803">
        <v>1515</v>
      </c>
      <c r="D30" s="1524"/>
      <c r="E30" s="772">
        <v>19654</v>
      </c>
      <c r="F30" s="139">
        <f t="shared" si="17"/>
        <v>592.096404</v>
      </c>
      <c r="G30" s="446">
        <v>7260</v>
      </c>
      <c r="H30" s="354">
        <f>G30*30.126/1000</f>
        <v>218.71476</v>
      </c>
      <c r="I30" s="249">
        <v>7260</v>
      </c>
      <c r="J30" s="249">
        <f t="shared" si="15"/>
        <v>218.71476</v>
      </c>
      <c r="K30" s="249">
        <v>7260</v>
      </c>
      <c r="L30" s="249">
        <f>K30*30.126/1000</f>
        <v>218.71476</v>
      </c>
      <c r="M30" s="249">
        <v>7260</v>
      </c>
      <c r="N30" s="249">
        <f>M30*30.126/1000</f>
        <v>218.71476</v>
      </c>
      <c r="O30" s="249">
        <v>7260</v>
      </c>
      <c r="P30" s="1553">
        <f t="shared" si="16"/>
        <v>218.71476</v>
      </c>
      <c r="Q30" s="985">
        <v>7260</v>
      </c>
      <c r="R30" s="986">
        <f t="shared" si="16"/>
        <v>218.71476</v>
      </c>
      <c r="S30" s="2291"/>
      <c r="T30" s="249"/>
      <c r="U30" s="249"/>
      <c r="V30" s="304"/>
    </row>
    <row r="31" spans="1:22" ht="15" customHeight="1" hidden="1">
      <c r="A31" s="115"/>
      <c r="B31" s="867" t="s">
        <v>602</v>
      </c>
      <c r="C31" s="863">
        <v>1841</v>
      </c>
      <c r="D31" s="2477"/>
      <c r="E31" s="2370"/>
      <c r="F31" s="139"/>
      <c r="G31" s="610"/>
      <c r="H31" s="625"/>
      <c r="I31" s="247"/>
      <c r="J31" s="249">
        <f t="shared" si="15"/>
        <v>0</v>
      </c>
      <c r="K31" s="247"/>
      <c r="L31" s="247"/>
      <c r="M31" s="247"/>
      <c r="N31" s="247"/>
      <c r="O31" s="247"/>
      <c r="P31" s="1553">
        <f t="shared" si="16"/>
        <v>0</v>
      </c>
      <c r="Q31" s="1792"/>
      <c r="R31" s="986">
        <f t="shared" si="16"/>
        <v>0</v>
      </c>
      <c r="S31" s="2382"/>
      <c r="T31" s="249"/>
      <c r="U31" s="247"/>
      <c r="V31" s="304"/>
    </row>
    <row r="32" spans="1:22" ht="15" customHeight="1" hidden="1">
      <c r="A32" s="115"/>
      <c r="B32" s="867" t="s">
        <v>603</v>
      </c>
      <c r="C32" s="863">
        <v>2259</v>
      </c>
      <c r="D32" s="2477"/>
      <c r="E32" s="2370"/>
      <c r="F32" s="139"/>
      <c r="G32" s="610"/>
      <c r="H32" s="625"/>
      <c r="I32" s="247"/>
      <c r="J32" s="249">
        <f t="shared" si="15"/>
        <v>0</v>
      </c>
      <c r="K32" s="247"/>
      <c r="L32" s="247"/>
      <c r="M32" s="247"/>
      <c r="N32" s="247"/>
      <c r="O32" s="247"/>
      <c r="P32" s="1553">
        <f t="shared" si="16"/>
        <v>0</v>
      </c>
      <c r="Q32" s="1792"/>
      <c r="R32" s="986">
        <f t="shared" si="16"/>
        <v>0</v>
      </c>
      <c r="S32" s="2382"/>
      <c r="T32" s="249"/>
      <c r="U32" s="247"/>
      <c r="V32" s="304"/>
    </row>
    <row r="33" spans="1:22" ht="15" customHeight="1">
      <c r="A33" s="121"/>
      <c r="B33" s="867" t="s">
        <v>376</v>
      </c>
      <c r="C33" s="863">
        <v>2755</v>
      </c>
      <c r="D33" s="2477">
        <v>2737</v>
      </c>
      <c r="E33" s="2370">
        <v>99505</v>
      </c>
      <c r="F33" s="139">
        <f t="shared" si="17"/>
        <v>2997.6876300000004</v>
      </c>
      <c r="G33" s="610">
        <v>102000</v>
      </c>
      <c r="H33" s="625">
        <f>G33*30.126/1000</f>
        <v>3072.852</v>
      </c>
      <c r="I33" s="247">
        <v>102000</v>
      </c>
      <c r="J33" s="249">
        <f t="shared" si="15"/>
        <v>3072.852</v>
      </c>
      <c r="K33" s="247">
        <v>96380</v>
      </c>
      <c r="L33" s="247">
        <f>K33*30.126/1000</f>
        <v>2903.5438799999997</v>
      </c>
      <c r="M33" s="247">
        <v>89350</v>
      </c>
      <c r="N33" s="247">
        <f>M33*30.126/1000</f>
        <v>2691.7581</v>
      </c>
      <c r="O33" s="247">
        <v>102000</v>
      </c>
      <c r="P33" s="1553">
        <f t="shared" si="16"/>
        <v>3072.852</v>
      </c>
      <c r="Q33" s="1792">
        <v>102000</v>
      </c>
      <c r="R33" s="986">
        <f t="shared" si="16"/>
        <v>3072.852</v>
      </c>
      <c r="S33" s="2382"/>
      <c r="T33" s="249"/>
      <c r="U33" s="247"/>
      <c r="V33" s="304"/>
    </row>
    <row r="34" spans="1:22" ht="15" customHeight="1" hidden="1">
      <c r="A34" s="121"/>
      <c r="B34" s="867" t="s">
        <v>604</v>
      </c>
      <c r="C34" s="863">
        <v>64</v>
      </c>
      <c r="D34" s="2477"/>
      <c r="E34" s="2370"/>
      <c r="F34" s="139"/>
      <c r="G34" s="610"/>
      <c r="H34" s="625"/>
      <c r="I34" s="247"/>
      <c r="J34" s="247"/>
      <c r="K34" s="247"/>
      <c r="L34" s="247"/>
      <c r="M34" s="247"/>
      <c r="N34" s="247"/>
      <c r="O34" s="247"/>
      <c r="P34" s="1790"/>
      <c r="Q34" s="1792"/>
      <c r="R34" s="248"/>
      <c r="S34" s="2382"/>
      <c r="T34" s="247"/>
      <c r="U34" s="247"/>
      <c r="V34" s="331"/>
    </row>
    <row r="35" spans="1:22" ht="15" customHeight="1">
      <c r="A35" s="121"/>
      <c r="B35" s="867" t="s">
        <v>120</v>
      </c>
      <c r="C35" s="855">
        <f>SUM(C36:C37)</f>
        <v>305</v>
      </c>
      <c r="D35" s="1528">
        <f>SUM(D36:D39)</f>
        <v>11040</v>
      </c>
      <c r="E35" s="861">
        <f aca="true" t="shared" si="18" ref="E35:N35">SUM(E36:E39)</f>
        <v>248713</v>
      </c>
      <c r="F35" s="207">
        <f t="shared" si="18"/>
        <v>7492.707238</v>
      </c>
      <c r="G35" s="615">
        <f t="shared" si="18"/>
        <v>257280</v>
      </c>
      <c r="H35" s="359">
        <f t="shared" si="18"/>
        <v>7750.81728</v>
      </c>
      <c r="I35" s="271">
        <f t="shared" si="18"/>
        <v>257280</v>
      </c>
      <c r="J35" s="271">
        <f t="shared" si="18"/>
        <v>7750.81728</v>
      </c>
      <c r="K35" s="271">
        <f t="shared" si="18"/>
        <v>257250</v>
      </c>
      <c r="L35" s="271">
        <f t="shared" si="18"/>
        <v>7749.913500000001</v>
      </c>
      <c r="M35" s="271">
        <f t="shared" si="18"/>
        <v>257920</v>
      </c>
      <c r="N35" s="271">
        <f t="shared" si="18"/>
        <v>7770.09792</v>
      </c>
      <c r="O35" s="271">
        <f>SUM(O36:O39)</f>
        <v>257280</v>
      </c>
      <c r="P35" s="1596">
        <f>SUM(P36:P39)</f>
        <v>7750.81728</v>
      </c>
      <c r="Q35" s="1169">
        <f>SUM(Q36:Q39)</f>
        <v>257280</v>
      </c>
      <c r="R35" s="1170">
        <f>SUM(R36:R39)</f>
        <v>7750.81728</v>
      </c>
      <c r="S35" s="2485"/>
      <c r="T35" s="271"/>
      <c r="U35" s="271"/>
      <c r="V35" s="325"/>
    </row>
    <row r="36" spans="1:22" ht="15" customHeight="1">
      <c r="A36" s="120"/>
      <c r="B36" s="791" t="s">
        <v>975</v>
      </c>
      <c r="C36" s="803">
        <v>305</v>
      </c>
      <c r="D36" s="1524">
        <v>1996</v>
      </c>
      <c r="E36" s="772">
        <v>72190</v>
      </c>
      <c r="F36" s="139">
        <f>(E36*30.126)/1000</f>
        <v>2174.79594</v>
      </c>
      <c r="G36" s="446">
        <v>66700</v>
      </c>
      <c r="H36" s="354">
        <f>G36*30.126/1000</f>
        <v>2009.4042000000002</v>
      </c>
      <c r="I36" s="249">
        <v>66700</v>
      </c>
      <c r="J36" s="249">
        <f>I36*30.126/1000</f>
        <v>2009.4042000000002</v>
      </c>
      <c r="K36" s="249">
        <v>66000</v>
      </c>
      <c r="L36" s="249">
        <f>K36*30.126/1000</f>
        <v>1988.316</v>
      </c>
      <c r="M36" s="249">
        <v>66000</v>
      </c>
      <c r="N36" s="249">
        <f>M36*30.126/1000</f>
        <v>1988.316</v>
      </c>
      <c r="O36" s="249">
        <v>66700</v>
      </c>
      <c r="P36" s="1553">
        <f>O36*30.126/1000</f>
        <v>2009.4042000000002</v>
      </c>
      <c r="Q36" s="985">
        <v>66700</v>
      </c>
      <c r="R36" s="986">
        <f>Q36*30.126/1000</f>
        <v>2009.4042000000002</v>
      </c>
      <c r="S36" s="2291"/>
      <c r="T36" s="249"/>
      <c r="U36" s="249"/>
      <c r="V36" s="304"/>
    </row>
    <row r="37" spans="1:22" ht="15" customHeight="1">
      <c r="A37" s="120"/>
      <c r="B37" s="791" t="s">
        <v>976</v>
      </c>
      <c r="C37" s="803"/>
      <c r="D37" s="1524">
        <v>9044</v>
      </c>
      <c r="E37" s="772">
        <v>153398</v>
      </c>
      <c r="F37" s="139">
        <f>(E37*30.126)/1000</f>
        <v>4621.268148</v>
      </c>
      <c r="G37" s="446">
        <v>171500</v>
      </c>
      <c r="H37" s="354">
        <f>G37*30.126/1000</f>
        <v>5166.609</v>
      </c>
      <c r="I37" s="249">
        <v>171500</v>
      </c>
      <c r="J37" s="249">
        <f>I37*30.126/1000</f>
        <v>5166.609</v>
      </c>
      <c r="K37" s="249">
        <v>171500</v>
      </c>
      <c r="L37" s="249">
        <f>K37*30.126/1000</f>
        <v>5166.609</v>
      </c>
      <c r="M37" s="249">
        <v>171500</v>
      </c>
      <c r="N37" s="249">
        <f>M37*30.126/1000</f>
        <v>5166.609</v>
      </c>
      <c r="O37" s="249">
        <v>171500</v>
      </c>
      <c r="P37" s="1553">
        <f>O37*30.126/1000</f>
        <v>5166.609</v>
      </c>
      <c r="Q37" s="985">
        <v>171500</v>
      </c>
      <c r="R37" s="986">
        <f>Q37*30.126/1000</f>
        <v>5166.609</v>
      </c>
      <c r="S37" s="2291"/>
      <c r="T37" s="249"/>
      <c r="U37" s="249"/>
      <c r="V37" s="304"/>
    </row>
    <row r="38" spans="1:22" ht="15" customHeight="1">
      <c r="A38" s="120"/>
      <c r="B38" s="791" t="s">
        <v>979</v>
      </c>
      <c r="C38" s="803"/>
      <c r="D38" s="1524"/>
      <c r="E38" s="772">
        <v>15025</v>
      </c>
      <c r="F38" s="139">
        <f>(E38*30.126)/1000</f>
        <v>452.64315000000005</v>
      </c>
      <c r="G38" s="446">
        <v>10470</v>
      </c>
      <c r="H38" s="354">
        <f>G38*30.126/1000</f>
        <v>315.41922000000005</v>
      </c>
      <c r="I38" s="249">
        <v>10470</v>
      </c>
      <c r="J38" s="249">
        <f>I38*30.126/1000</f>
        <v>315.41922000000005</v>
      </c>
      <c r="K38" s="249">
        <v>11140</v>
      </c>
      <c r="L38" s="249">
        <f>K38*30.126/1000</f>
        <v>335.60364000000004</v>
      </c>
      <c r="M38" s="249">
        <v>11810</v>
      </c>
      <c r="N38" s="249">
        <f>M38*30.126/1000</f>
        <v>355.78806</v>
      </c>
      <c r="O38" s="249">
        <v>10470</v>
      </c>
      <c r="P38" s="1553">
        <f>O38*30.126/1000</f>
        <v>315.41922000000005</v>
      </c>
      <c r="Q38" s="985">
        <v>10470</v>
      </c>
      <c r="R38" s="986">
        <f>Q38*30.126/1000</f>
        <v>315.41922000000005</v>
      </c>
      <c r="S38" s="2291"/>
      <c r="T38" s="249"/>
      <c r="U38" s="249"/>
      <c r="V38" s="304"/>
    </row>
    <row r="39" spans="1:22" ht="15" customHeight="1">
      <c r="A39" s="120"/>
      <c r="B39" s="791" t="s">
        <v>980</v>
      </c>
      <c r="C39" s="803"/>
      <c r="D39" s="1524"/>
      <c r="E39" s="772">
        <v>8100</v>
      </c>
      <c r="F39" s="139">
        <v>244</v>
      </c>
      <c r="G39" s="446">
        <v>8610</v>
      </c>
      <c r="H39" s="354">
        <f>G39*30.126/1000</f>
        <v>259.38486</v>
      </c>
      <c r="I39" s="249">
        <v>8610</v>
      </c>
      <c r="J39" s="249">
        <f>I39*30.126/1000</f>
        <v>259.38486</v>
      </c>
      <c r="K39" s="249">
        <v>8610</v>
      </c>
      <c r="L39" s="249">
        <f>K39*30.126/1000</f>
        <v>259.38486</v>
      </c>
      <c r="M39" s="249">
        <v>8610</v>
      </c>
      <c r="N39" s="249">
        <f>M39*30.126/1000</f>
        <v>259.38486</v>
      </c>
      <c r="O39" s="249">
        <v>8610</v>
      </c>
      <c r="P39" s="1553">
        <f>O39*30.126/1000</f>
        <v>259.38486</v>
      </c>
      <c r="Q39" s="985">
        <v>8610</v>
      </c>
      <c r="R39" s="986">
        <f>Q39*30.126/1000</f>
        <v>259.38486</v>
      </c>
      <c r="S39" s="2291"/>
      <c r="T39" s="249"/>
      <c r="U39" s="249"/>
      <c r="V39" s="304"/>
    </row>
    <row r="40" spans="1:22" ht="15" customHeight="1">
      <c r="A40" s="121"/>
      <c r="B40" s="867" t="s">
        <v>377</v>
      </c>
      <c r="C40" s="855">
        <f aca="true" t="shared" si="19" ref="C40:N40">SUM(C41:C46)</f>
        <v>8894</v>
      </c>
      <c r="D40" s="1528">
        <f t="shared" si="19"/>
        <v>17436</v>
      </c>
      <c r="E40" s="772">
        <f t="shared" si="19"/>
        <v>358274</v>
      </c>
      <c r="F40" s="139">
        <f t="shared" si="19"/>
        <v>10793.362524</v>
      </c>
      <c r="G40" s="446">
        <f t="shared" si="19"/>
        <v>489760</v>
      </c>
      <c r="H40" s="354">
        <f t="shared" si="19"/>
        <v>14754.50976</v>
      </c>
      <c r="I40" s="249">
        <f t="shared" si="19"/>
        <v>461500</v>
      </c>
      <c r="J40" s="249">
        <f t="shared" si="19"/>
        <v>13903.149</v>
      </c>
      <c r="K40" s="249">
        <f t="shared" si="19"/>
        <v>677570</v>
      </c>
      <c r="L40" s="249">
        <f t="shared" si="19"/>
        <v>20412.47382</v>
      </c>
      <c r="M40" s="249">
        <f t="shared" si="19"/>
        <v>602960</v>
      </c>
      <c r="N40" s="249">
        <f t="shared" si="19"/>
        <v>18164.77296</v>
      </c>
      <c r="O40" s="249">
        <f>SUM(O41:O46)</f>
        <v>461500</v>
      </c>
      <c r="P40" s="1553">
        <f>SUM(P41:P46)</f>
        <v>13903.149</v>
      </c>
      <c r="Q40" s="985">
        <f>SUM(Q41:Q46)</f>
        <v>462139</v>
      </c>
      <c r="R40" s="986">
        <f>SUM(R41:R46)</f>
        <v>13922.399514</v>
      </c>
      <c r="S40" s="2291"/>
      <c r="T40" s="249"/>
      <c r="U40" s="249"/>
      <c r="V40" s="304"/>
    </row>
    <row r="41" spans="1:22" ht="15" customHeight="1">
      <c r="A41" s="121"/>
      <c r="B41" s="791" t="s">
        <v>977</v>
      </c>
      <c r="C41" s="803">
        <v>3046</v>
      </c>
      <c r="D41" s="1524">
        <v>6482</v>
      </c>
      <c r="E41" s="772">
        <v>147713</v>
      </c>
      <c r="F41" s="139">
        <f aca="true" t="shared" si="20" ref="F41:F47">(E41*30.126)/1000</f>
        <v>4450.001838</v>
      </c>
      <c r="G41" s="446">
        <v>152110</v>
      </c>
      <c r="H41" s="354">
        <f>G41*30.126/1000</f>
        <v>4582.46586</v>
      </c>
      <c r="I41" s="249">
        <v>147510</v>
      </c>
      <c r="J41" s="249">
        <f aca="true" t="shared" si="21" ref="J41:J49">I41*30.126/1000</f>
        <v>4443.88626</v>
      </c>
      <c r="K41" s="249">
        <v>335510</v>
      </c>
      <c r="L41" s="249">
        <f>K41*30.126/1000</f>
        <v>10107.57426</v>
      </c>
      <c r="M41" s="249">
        <v>258960</v>
      </c>
      <c r="N41" s="249">
        <f>M41*30.126/1000</f>
        <v>7801.42896</v>
      </c>
      <c r="O41" s="249">
        <v>147510</v>
      </c>
      <c r="P41" s="1553">
        <f aca="true" t="shared" si="22" ref="P41:R49">O41*30.126/1000</f>
        <v>4443.88626</v>
      </c>
      <c r="Q41" s="985">
        <v>147510</v>
      </c>
      <c r="R41" s="986">
        <f t="shared" si="22"/>
        <v>4443.88626</v>
      </c>
      <c r="S41" s="2291"/>
      <c r="T41" s="249"/>
      <c r="U41" s="249"/>
      <c r="V41" s="304"/>
    </row>
    <row r="42" spans="1:22" ht="15" customHeight="1">
      <c r="A42" s="121"/>
      <c r="B42" s="791" t="s">
        <v>1211</v>
      </c>
      <c r="C42" s="803"/>
      <c r="D42" s="1524"/>
      <c r="E42" s="772"/>
      <c r="F42" s="139"/>
      <c r="G42" s="446">
        <v>58170</v>
      </c>
      <c r="H42" s="354">
        <f aca="true" t="shared" si="23" ref="H42:H49">G42*30.126/1000</f>
        <v>1752.4294200000002</v>
      </c>
      <c r="I42" s="249">
        <v>56020</v>
      </c>
      <c r="J42" s="249">
        <f t="shared" si="21"/>
        <v>1687.65852</v>
      </c>
      <c r="K42" s="249">
        <v>55930</v>
      </c>
      <c r="L42" s="249">
        <f aca="true" t="shared" si="24" ref="L42:L49">K42*30.126/1000</f>
        <v>1684.9471800000001</v>
      </c>
      <c r="M42" s="249">
        <v>64790</v>
      </c>
      <c r="N42" s="249">
        <f aca="true" t="shared" si="25" ref="N42:N49">M42*30.126/1000</f>
        <v>1951.86354</v>
      </c>
      <c r="O42" s="249">
        <v>56020</v>
      </c>
      <c r="P42" s="1553">
        <f t="shared" si="22"/>
        <v>1687.65852</v>
      </c>
      <c r="Q42" s="985">
        <v>50020</v>
      </c>
      <c r="R42" s="986">
        <f t="shared" si="22"/>
        <v>1506.90252</v>
      </c>
      <c r="S42" s="2291"/>
      <c r="T42" s="249"/>
      <c r="U42" s="249"/>
      <c r="V42" s="304"/>
    </row>
    <row r="43" spans="1:22" ht="15" customHeight="1">
      <c r="A43" s="121"/>
      <c r="B43" s="791" t="s">
        <v>978</v>
      </c>
      <c r="C43" s="803">
        <v>2803</v>
      </c>
      <c r="D43" s="1524">
        <v>7037</v>
      </c>
      <c r="E43" s="772">
        <v>116615</v>
      </c>
      <c r="F43" s="139">
        <f t="shared" si="20"/>
        <v>3513.1434900000004</v>
      </c>
      <c r="G43" s="446">
        <v>133000</v>
      </c>
      <c r="H43" s="354">
        <f t="shared" si="23"/>
        <v>4006.758</v>
      </c>
      <c r="I43" s="249">
        <v>118000</v>
      </c>
      <c r="J43" s="249">
        <f t="shared" si="21"/>
        <v>3554.868</v>
      </c>
      <c r="K43" s="249">
        <v>133000</v>
      </c>
      <c r="L43" s="249">
        <f t="shared" si="24"/>
        <v>4006.758</v>
      </c>
      <c r="M43" s="249">
        <v>133000</v>
      </c>
      <c r="N43" s="249">
        <f t="shared" si="25"/>
        <v>4006.758</v>
      </c>
      <c r="O43" s="249">
        <v>118000</v>
      </c>
      <c r="P43" s="1553">
        <f t="shared" si="22"/>
        <v>3554.868</v>
      </c>
      <c r="Q43" s="985">
        <f>118000+6639</f>
        <v>124639</v>
      </c>
      <c r="R43" s="986">
        <f t="shared" si="22"/>
        <v>3754.874514</v>
      </c>
      <c r="S43" s="2291"/>
      <c r="T43" s="249"/>
      <c r="U43" s="249"/>
      <c r="V43" s="304"/>
    </row>
    <row r="44" spans="1:22" ht="15" customHeight="1">
      <c r="A44" s="121"/>
      <c r="B44" s="791" t="s">
        <v>1212</v>
      </c>
      <c r="C44" s="803"/>
      <c r="D44" s="1524"/>
      <c r="E44" s="772"/>
      <c r="F44" s="139"/>
      <c r="G44" s="446">
        <v>27460</v>
      </c>
      <c r="H44" s="354">
        <f t="shared" si="23"/>
        <v>827.2599600000001</v>
      </c>
      <c r="I44" s="249">
        <v>26110</v>
      </c>
      <c r="J44" s="249">
        <f t="shared" si="21"/>
        <v>786.5898599999999</v>
      </c>
      <c r="K44" s="249">
        <v>23200</v>
      </c>
      <c r="L44" s="249">
        <f t="shared" si="24"/>
        <v>698.9232000000001</v>
      </c>
      <c r="M44" s="249">
        <v>24580</v>
      </c>
      <c r="N44" s="249">
        <f t="shared" si="25"/>
        <v>740.4970800000001</v>
      </c>
      <c r="O44" s="249">
        <v>26110</v>
      </c>
      <c r="P44" s="1553">
        <f t="shared" si="22"/>
        <v>786.5898599999999</v>
      </c>
      <c r="Q44" s="985">
        <v>26110</v>
      </c>
      <c r="R44" s="986">
        <f t="shared" si="22"/>
        <v>786.5898599999999</v>
      </c>
      <c r="S44" s="2291"/>
      <c r="T44" s="249"/>
      <c r="U44" s="249"/>
      <c r="V44" s="304"/>
    </row>
    <row r="45" spans="1:22" ht="15" customHeight="1">
      <c r="A45" s="121"/>
      <c r="B45" s="791" t="s">
        <v>979</v>
      </c>
      <c r="C45" s="803">
        <v>1263</v>
      </c>
      <c r="D45" s="1524">
        <v>2208</v>
      </c>
      <c r="E45" s="772">
        <v>64890</v>
      </c>
      <c r="F45" s="139">
        <f t="shared" si="20"/>
        <v>1954.87614</v>
      </c>
      <c r="G45" s="446">
        <v>80620</v>
      </c>
      <c r="H45" s="354">
        <f t="shared" si="23"/>
        <v>2428.75812</v>
      </c>
      <c r="I45" s="249">
        <v>76710</v>
      </c>
      <c r="J45" s="249">
        <f t="shared" si="21"/>
        <v>2310.96546</v>
      </c>
      <c r="K45" s="249">
        <v>94730</v>
      </c>
      <c r="L45" s="249">
        <f t="shared" si="24"/>
        <v>2853.83598</v>
      </c>
      <c r="M45" s="249">
        <v>81630</v>
      </c>
      <c r="N45" s="249">
        <f t="shared" si="25"/>
        <v>2459.18538</v>
      </c>
      <c r="O45" s="249">
        <v>76710</v>
      </c>
      <c r="P45" s="1553">
        <f t="shared" si="22"/>
        <v>2310.96546</v>
      </c>
      <c r="Q45" s="985">
        <v>76710</v>
      </c>
      <c r="R45" s="986">
        <f t="shared" si="22"/>
        <v>2310.96546</v>
      </c>
      <c r="S45" s="2291"/>
      <c r="T45" s="249"/>
      <c r="U45" s="249"/>
      <c r="V45" s="304"/>
    </row>
    <row r="46" spans="1:22" ht="15" customHeight="1">
      <c r="A46" s="121"/>
      <c r="B46" s="791" t="s">
        <v>980</v>
      </c>
      <c r="C46" s="803">
        <v>1782</v>
      </c>
      <c r="D46" s="1524">
        <v>1709</v>
      </c>
      <c r="E46" s="772">
        <v>29056</v>
      </c>
      <c r="F46" s="139">
        <f t="shared" si="20"/>
        <v>875.341056</v>
      </c>
      <c r="G46" s="446">
        <v>38400</v>
      </c>
      <c r="H46" s="354">
        <f t="shared" si="23"/>
        <v>1156.8384</v>
      </c>
      <c r="I46" s="249">
        <v>37150</v>
      </c>
      <c r="J46" s="249">
        <f t="shared" si="21"/>
        <v>1119.1809</v>
      </c>
      <c r="K46" s="249">
        <v>35200</v>
      </c>
      <c r="L46" s="249">
        <f t="shared" si="24"/>
        <v>1060.4352</v>
      </c>
      <c r="M46" s="249">
        <v>40000</v>
      </c>
      <c r="N46" s="249">
        <f t="shared" si="25"/>
        <v>1205.04</v>
      </c>
      <c r="O46" s="249">
        <v>37150</v>
      </c>
      <c r="P46" s="1553">
        <f t="shared" si="22"/>
        <v>1119.1809</v>
      </c>
      <c r="Q46" s="985">
        <v>37150</v>
      </c>
      <c r="R46" s="986">
        <f t="shared" si="22"/>
        <v>1119.1809</v>
      </c>
      <c r="S46" s="2291"/>
      <c r="T46" s="249"/>
      <c r="U46" s="249"/>
      <c r="V46" s="304"/>
    </row>
    <row r="47" spans="1:22" ht="15" customHeight="1">
      <c r="A47" s="121"/>
      <c r="B47" s="867" t="s">
        <v>378</v>
      </c>
      <c r="C47" s="803">
        <v>189</v>
      </c>
      <c r="D47" s="1524">
        <v>226</v>
      </c>
      <c r="E47" s="772">
        <v>8298</v>
      </c>
      <c r="F47" s="139">
        <f t="shared" si="20"/>
        <v>249.98554800000002</v>
      </c>
      <c r="G47" s="446">
        <v>10300</v>
      </c>
      <c r="H47" s="354">
        <f t="shared" si="23"/>
        <v>310.2978</v>
      </c>
      <c r="I47" s="249">
        <v>10300</v>
      </c>
      <c r="J47" s="249">
        <f t="shared" si="21"/>
        <v>310.2978</v>
      </c>
      <c r="K47" s="249">
        <v>10400</v>
      </c>
      <c r="L47" s="249">
        <f t="shared" si="24"/>
        <v>313.3104</v>
      </c>
      <c r="M47" s="249">
        <v>10700</v>
      </c>
      <c r="N47" s="249">
        <f t="shared" si="25"/>
        <v>322.3482</v>
      </c>
      <c r="O47" s="249">
        <v>10300</v>
      </c>
      <c r="P47" s="1553">
        <f t="shared" si="22"/>
        <v>310.2978</v>
      </c>
      <c r="Q47" s="985">
        <v>10300</v>
      </c>
      <c r="R47" s="986">
        <f t="shared" si="22"/>
        <v>310.2978</v>
      </c>
      <c r="S47" s="2291"/>
      <c r="T47" s="249"/>
      <c r="U47" s="249"/>
      <c r="V47" s="304"/>
    </row>
    <row r="48" spans="1:22" ht="15" customHeight="1">
      <c r="A48" s="121"/>
      <c r="B48" s="867" t="s">
        <v>657</v>
      </c>
      <c r="C48" s="803">
        <v>287</v>
      </c>
      <c r="D48" s="1524">
        <v>758</v>
      </c>
      <c r="E48" s="772"/>
      <c r="F48" s="139"/>
      <c r="G48" s="446">
        <v>1660</v>
      </c>
      <c r="H48" s="354">
        <f t="shared" si="23"/>
        <v>50.00916</v>
      </c>
      <c r="I48" s="249">
        <v>1660</v>
      </c>
      <c r="J48" s="249">
        <f t="shared" si="21"/>
        <v>50.00916</v>
      </c>
      <c r="K48" s="249">
        <v>1660</v>
      </c>
      <c r="L48" s="249">
        <f t="shared" si="24"/>
        <v>50.00916</v>
      </c>
      <c r="M48" s="249">
        <v>1660</v>
      </c>
      <c r="N48" s="249">
        <f t="shared" si="25"/>
        <v>50.00916</v>
      </c>
      <c r="O48" s="249">
        <v>1660</v>
      </c>
      <c r="P48" s="1553">
        <f t="shared" si="22"/>
        <v>50.00916</v>
      </c>
      <c r="Q48" s="985">
        <v>1660</v>
      </c>
      <c r="R48" s="986">
        <f t="shared" si="22"/>
        <v>50.00916</v>
      </c>
      <c r="S48" s="2291"/>
      <c r="T48" s="249"/>
      <c r="U48" s="249"/>
      <c r="V48" s="304"/>
    </row>
    <row r="49" spans="1:22" ht="15" customHeight="1">
      <c r="A49" s="146"/>
      <c r="B49" s="867" t="s">
        <v>1213</v>
      </c>
      <c r="C49" s="803">
        <v>287</v>
      </c>
      <c r="D49" s="1524">
        <v>758</v>
      </c>
      <c r="E49" s="772">
        <v>13585</v>
      </c>
      <c r="F49" s="139">
        <f>E49*30.126/1000</f>
        <v>409.26171</v>
      </c>
      <c r="G49" s="446">
        <v>17620</v>
      </c>
      <c r="H49" s="354">
        <f t="shared" si="23"/>
        <v>530.82012</v>
      </c>
      <c r="I49" s="249">
        <v>17620</v>
      </c>
      <c r="J49" s="249">
        <f t="shared" si="21"/>
        <v>530.82012</v>
      </c>
      <c r="K49" s="249">
        <v>18140</v>
      </c>
      <c r="L49" s="249">
        <f t="shared" si="24"/>
        <v>546.48564</v>
      </c>
      <c r="M49" s="249">
        <v>18690</v>
      </c>
      <c r="N49" s="249">
        <f t="shared" si="25"/>
        <v>563.0549400000001</v>
      </c>
      <c r="O49" s="249">
        <v>17620</v>
      </c>
      <c r="P49" s="1553">
        <f t="shared" si="22"/>
        <v>530.82012</v>
      </c>
      <c r="Q49" s="985">
        <v>17620</v>
      </c>
      <c r="R49" s="986">
        <f t="shared" si="22"/>
        <v>530.82012</v>
      </c>
      <c r="S49" s="2291"/>
      <c r="T49" s="249"/>
      <c r="U49" s="249"/>
      <c r="V49" s="304"/>
    </row>
    <row r="50" spans="1:22" s="1" customFormat="1" ht="19.5" customHeight="1">
      <c r="A50" s="112" t="s">
        <v>925</v>
      </c>
      <c r="B50" s="787" t="s">
        <v>967</v>
      </c>
      <c r="C50" s="801">
        <f aca="true" t="shared" si="26" ref="C50:N50">C51+C52+C59</f>
        <v>11340</v>
      </c>
      <c r="D50" s="1522">
        <f t="shared" si="26"/>
        <v>18117</v>
      </c>
      <c r="E50" s="770">
        <f>E51+E52+E59+E60</f>
        <v>373994</v>
      </c>
      <c r="F50" s="480">
        <f>F51+F52+F59+F60</f>
        <v>11266.943243999998</v>
      </c>
      <c r="G50" s="464">
        <f t="shared" si="26"/>
        <v>453200</v>
      </c>
      <c r="H50" s="245">
        <f t="shared" si="26"/>
        <v>13653.1032</v>
      </c>
      <c r="I50" s="246">
        <f t="shared" si="26"/>
        <v>420600</v>
      </c>
      <c r="J50" s="246">
        <f t="shared" si="26"/>
        <v>12670.995599999998</v>
      </c>
      <c r="K50" s="246">
        <f t="shared" si="26"/>
        <v>1598800</v>
      </c>
      <c r="L50" s="246">
        <f t="shared" si="26"/>
        <v>48165.4488</v>
      </c>
      <c r="M50" s="246">
        <f t="shared" si="26"/>
        <v>1700000</v>
      </c>
      <c r="N50" s="246">
        <f t="shared" si="26"/>
        <v>51214.2</v>
      </c>
      <c r="O50" s="246">
        <f>O51+O52+O59</f>
        <v>420600</v>
      </c>
      <c r="P50" s="1550">
        <f>P51+P52+P59</f>
        <v>12670.995599999998</v>
      </c>
      <c r="Q50" s="245">
        <f>Q51+Q52+Q59</f>
        <v>420600</v>
      </c>
      <c r="R50" s="764">
        <f>R51+R52+R59</f>
        <v>12670.995599999998</v>
      </c>
      <c r="S50" s="2383">
        <v>420600</v>
      </c>
      <c r="T50" s="246">
        <f>S50*30.126/1000</f>
        <v>12670.9956</v>
      </c>
      <c r="U50" s="246">
        <v>420600</v>
      </c>
      <c r="V50" s="255">
        <f>U50*30.126/1000</f>
        <v>12670.9956</v>
      </c>
    </row>
    <row r="51" spans="1:22" ht="15" customHeight="1">
      <c r="A51" s="147" t="s">
        <v>1160</v>
      </c>
      <c r="B51" s="869" t="s">
        <v>917</v>
      </c>
      <c r="C51" s="803">
        <f>81+450</f>
        <v>531</v>
      </c>
      <c r="D51" s="1524">
        <v>9256</v>
      </c>
      <c r="E51" s="772">
        <v>100000</v>
      </c>
      <c r="F51" s="139">
        <f>(E51*30.126)/1000</f>
        <v>3012.6</v>
      </c>
      <c r="G51" s="446">
        <v>178000</v>
      </c>
      <c r="H51" s="354">
        <f>G51*30.126/1000</f>
        <v>5362.428</v>
      </c>
      <c r="I51" s="249">
        <v>163000</v>
      </c>
      <c r="J51" s="249">
        <f>I51*30.126/1000</f>
        <v>4910.538</v>
      </c>
      <c r="K51" s="249">
        <v>130000</v>
      </c>
      <c r="L51" s="249">
        <f>K51*30.126/1000</f>
        <v>3916.38</v>
      </c>
      <c r="M51" s="249">
        <v>125000</v>
      </c>
      <c r="N51" s="249">
        <f>M51*30.126/1000</f>
        <v>3765.75</v>
      </c>
      <c r="O51" s="249">
        <v>163000</v>
      </c>
      <c r="P51" s="1553">
        <f>O51*30.126/1000</f>
        <v>4910.538</v>
      </c>
      <c r="Q51" s="985">
        <v>163000</v>
      </c>
      <c r="R51" s="986">
        <f>Q51*30.126/1000</f>
        <v>4910.538</v>
      </c>
      <c r="S51" s="2291"/>
      <c r="T51" s="249"/>
      <c r="U51" s="249"/>
      <c r="V51" s="304"/>
    </row>
    <row r="52" spans="1:22" s="1" customFormat="1" ht="15" customHeight="1">
      <c r="A52" s="149" t="s">
        <v>1161</v>
      </c>
      <c r="B52" s="869" t="s">
        <v>658</v>
      </c>
      <c r="C52" s="855">
        <f aca="true" t="shared" si="27" ref="C52:N52">SUM(C53:C58)</f>
        <v>10809</v>
      </c>
      <c r="D52" s="1528">
        <f t="shared" si="27"/>
        <v>8861</v>
      </c>
      <c r="E52" s="772">
        <f t="shared" si="27"/>
        <v>229268</v>
      </c>
      <c r="F52" s="139">
        <f t="shared" si="27"/>
        <v>6906.927768</v>
      </c>
      <c r="G52" s="446">
        <f t="shared" si="27"/>
        <v>275200</v>
      </c>
      <c r="H52" s="354">
        <f t="shared" si="27"/>
        <v>8290.6752</v>
      </c>
      <c r="I52" s="249">
        <f t="shared" si="27"/>
        <v>257600</v>
      </c>
      <c r="J52" s="249">
        <f t="shared" si="27"/>
        <v>7760.4576</v>
      </c>
      <c r="K52" s="249">
        <f t="shared" si="27"/>
        <v>1468800</v>
      </c>
      <c r="L52" s="249">
        <f t="shared" si="27"/>
        <v>44249.0688</v>
      </c>
      <c r="M52" s="249">
        <f t="shared" si="27"/>
        <v>1575000</v>
      </c>
      <c r="N52" s="249">
        <f t="shared" si="27"/>
        <v>47448.45</v>
      </c>
      <c r="O52" s="249">
        <f>SUM(O53:O58)</f>
        <v>257600</v>
      </c>
      <c r="P52" s="1553">
        <f>SUM(P53:P58)</f>
        <v>7760.4576</v>
      </c>
      <c r="Q52" s="985">
        <f>SUM(Q53:Q58)</f>
        <v>257600</v>
      </c>
      <c r="R52" s="986">
        <f>SUM(R53:R58)</f>
        <v>7760.4576</v>
      </c>
      <c r="S52" s="2291"/>
      <c r="T52" s="249"/>
      <c r="U52" s="249"/>
      <c r="V52" s="304"/>
    </row>
    <row r="53" spans="1:22" ht="15" customHeight="1" hidden="1">
      <c r="A53" s="150"/>
      <c r="B53" s="870" t="s">
        <v>953</v>
      </c>
      <c r="C53" s="863"/>
      <c r="D53" s="2477">
        <v>2139</v>
      </c>
      <c r="E53" s="2370"/>
      <c r="F53" s="2480"/>
      <c r="G53" s="610"/>
      <c r="H53" s="625"/>
      <c r="I53" s="247"/>
      <c r="J53" s="247"/>
      <c r="K53" s="247"/>
      <c r="L53" s="247"/>
      <c r="M53" s="247"/>
      <c r="N53" s="247"/>
      <c r="O53" s="247"/>
      <c r="P53" s="1790"/>
      <c r="Q53" s="1792"/>
      <c r="R53" s="248"/>
      <c r="S53" s="2382"/>
      <c r="T53" s="247"/>
      <c r="U53" s="247"/>
      <c r="V53" s="331"/>
    </row>
    <row r="54" spans="1:22" ht="15" customHeight="1" hidden="1">
      <c r="A54" s="150"/>
      <c r="B54" s="867" t="s">
        <v>963</v>
      </c>
      <c r="C54" s="803">
        <v>3701</v>
      </c>
      <c r="D54" s="1524">
        <v>4406</v>
      </c>
      <c r="E54" s="772"/>
      <c r="F54" s="139"/>
      <c r="G54" s="446"/>
      <c r="H54" s="354"/>
      <c r="I54" s="249"/>
      <c r="J54" s="249"/>
      <c r="K54" s="249"/>
      <c r="L54" s="249"/>
      <c r="M54" s="249"/>
      <c r="N54" s="249"/>
      <c r="O54" s="249"/>
      <c r="P54" s="1553"/>
      <c r="Q54" s="985"/>
      <c r="R54" s="986"/>
      <c r="S54" s="2291"/>
      <c r="T54" s="249"/>
      <c r="U54" s="249"/>
      <c r="V54" s="304"/>
    </row>
    <row r="55" spans="1:22" ht="15" customHeight="1">
      <c r="A55" s="150"/>
      <c r="B55" s="867" t="s">
        <v>984</v>
      </c>
      <c r="C55" s="803"/>
      <c r="D55" s="1524">
        <v>330</v>
      </c>
      <c r="E55" s="772"/>
      <c r="F55" s="139"/>
      <c r="G55" s="446">
        <v>58200</v>
      </c>
      <c r="H55" s="354">
        <f>G55*30.126/1000</f>
        <v>1753.3332000000003</v>
      </c>
      <c r="I55" s="249">
        <v>40600</v>
      </c>
      <c r="J55" s="249">
        <f>I55*30.126/1000</f>
        <v>1223.1156</v>
      </c>
      <c r="K55" s="249">
        <v>103800</v>
      </c>
      <c r="L55" s="249">
        <f>K55*30.126/1000</f>
        <v>3127.0788000000002</v>
      </c>
      <c r="M55" s="249">
        <v>75000</v>
      </c>
      <c r="N55" s="249">
        <f>M55*30.126/1000</f>
        <v>2259.45</v>
      </c>
      <c r="O55" s="249">
        <v>40600</v>
      </c>
      <c r="P55" s="1553">
        <f>O55*30.126/1000</f>
        <v>1223.1156</v>
      </c>
      <c r="Q55" s="985">
        <v>40600</v>
      </c>
      <c r="R55" s="986">
        <f>Q55*30.126/1000</f>
        <v>1223.1156</v>
      </c>
      <c r="S55" s="2291"/>
      <c r="T55" s="249"/>
      <c r="U55" s="249"/>
      <c r="V55" s="304"/>
    </row>
    <row r="56" spans="1:22" ht="15" customHeight="1" hidden="1">
      <c r="A56" s="150"/>
      <c r="B56" s="867" t="s">
        <v>605</v>
      </c>
      <c r="C56" s="828">
        <v>7108</v>
      </c>
      <c r="D56" s="2366"/>
      <c r="E56" s="851"/>
      <c r="F56" s="308"/>
      <c r="G56" s="611"/>
      <c r="H56" s="354"/>
      <c r="I56" s="312"/>
      <c r="J56" s="249">
        <f>I56*30.126/1000</f>
        <v>0</v>
      </c>
      <c r="K56" s="312"/>
      <c r="L56" s="249"/>
      <c r="M56" s="312"/>
      <c r="N56" s="249"/>
      <c r="O56" s="312"/>
      <c r="P56" s="1553">
        <f>O56*30.126/1000</f>
        <v>0</v>
      </c>
      <c r="Q56" s="1569"/>
      <c r="R56" s="986">
        <f>Q56*30.126/1000</f>
        <v>0</v>
      </c>
      <c r="S56" s="2385"/>
      <c r="T56" s="249"/>
      <c r="U56" s="312"/>
      <c r="V56" s="304"/>
    </row>
    <row r="57" spans="1:22" ht="15" customHeight="1">
      <c r="A57" s="150"/>
      <c r="B57" s="867" t="s">
        <v>659</v>
      </c>
      <c r="C57" s="828"/>
      <c r="D57" s="2366"/>
      <c r="E57" s="851">
        <v>13504</v>
      </c>
      <c r="F57" s="308">
        <f>(E57*30.126)/1000</f>
        <v>406.821504</v>
      </c>
      <c r="G57" s="611"/>
      <c r="H57" s="354"/>
      <c r="I57" s="312"/>
      <c r="J57" s="249">
        <f>I57*30.126/1000</f>
        <v>0</v>
      </c>
      <c r="K57" s="312"/>
      <c r="L57" s="249"/>
      <c r="M57" s="312"/>
      <c r="N57" s="249"/>
      <c r="O57" s="312"/>
      <c r="P57" s="1553">
        <f>O57*30.126/1000</f>
        <v>0</v>
      </c>
      <c r="Q57" s="1569"/>
      <c r="R57" s="986"/>
      <c r="S57" s="2385"/>
      <c r="T57" s="249"/>
      <c r="U57" s="312"/>
      <c r="V57" s="304"/>
    </row>
    <row r="58" spans="1:22" ht="15" customHeight="1">
      <c r="A58" s="121"/>
      <c r="B58" s="867" t="s">
        <v>964</v>
      </c>
      <c r="C58" s="803"/>
      <c r="D58" s="1524">
        <v>1986</v>
      </c>
      <c r="E58" s="772">
        <v>215764</v>
      </c>
      <c r="F58" s="308">
        <f>(E58*30.126)/1000</f>
        <v>6500.106264</v>
      </c>
      <c r="G58" s="446">
        <v>217000</v>
      </c>
      <c r="H58" s="354">
        <f>G58*30.126/1000</f>
        <v>6537.342</v>
      </c>
      <c r="I58" s="249">
        <v>217000</v>
      </c>
      <c r="J58" s="249">
        <f>I58*30.126/1000</f>
        <v>6537.342</v>
      </c>
      <c r="K58" s="249">
        <v>1365000</v>
      </c>
      <c r="L58" s="249">
        <f>K58*30.126/1000</f>
        <v>41121.99</v>
      </c>
      <c r="M58" s="249">
        <v>1500000</v>
      </c>
      <c r="N58" s="249">
        <f>M58*30.126/1000</f>
        <v>45189</v>
      </c>
      <c r="O58" s="249">
        <v>217000</v>
      </c>
      <c r="P58" s="1553">
        <f>O58*30.126/1000</f>
        <v>6537.342</v>
      </c>
      <c r="Q58" s="985">
        <v>217000</v>
      </c>
      <c r="R58" s="986">
        <f>Q58*30.126/1000</f>
        <v>6537.342</v>
      </c>
      <c r="S58" s="2291"/>
      <c r="T58" s="249"/>
      <c r="U58" s="249"/>
      <c r="V58" s="304"/>
    </row>
    <row r="59" spans="1:22" s="1" customFormat="1" ht="15" customHeight="1">
      <c r="A59" s="149" t="s">
        <v>1162</v>
      </c>
      <c r="B59" s="869" t="s">
        <v>660</v>
      </c>
      <c r="C59" s="855"/>
      <c r="D59" s="1528"/>
      <c r="E59" s="772">
        <v>21241</v>
      </c>
      <c r="F59" s="308">
        <f>(E59*30.126)/1000</f>
        <v>639.906366</v>
      </c>
      <c r="G59" s="446"/>
      <c r="H59" s="354"/>
      <c r="I59" s="249"/>
      <c r="J59" s="249">
        <f>I59*30.126/1000</f>
        <v>0</v>
      </c>
      <c r="K59" s="249"/>
      <c r="L59" s="249"/>
      <c r="M59" s="249"/>
      <c r="N59" s="249"/>
      <c r="O59" s="249"/>
      <c r="P59" s="1553">
        <f>O59*30.126/1000</f>
        <v>0</v>
      </c>
      <c r="Q59" s="985"/>
      <c r="R59" s="986"/>
      <c r="S59" s="2291"/>
      <c r="T59" s="249"/>
      <c r="U59" s="249"/>
      <c r="V59" s="304"/>
    </row>
    <row r="60" spans="1:22" s="1" customFormat="1" ht="15" customHeight="1">
      <c r="A60" s="149"/>
      <c r="B60" s="869" t="s">
        <v>1146</v>
      </c>
      <c r="C60" s="855"/>
      <c r="D60" s="1528"/>
      <c r="E60" s="772">
        <v>23485</v>
      </c>
      <c r="F60" s="308">
        <f>E60*30.126/1000</f>
        <v>707.50911</v>
      </c>
      <c r="G60" s="446"/>
      <c r="H60" s="354"/>
      <c r="I60" s="249"/>
      <c r="J60" s="249"/>
      <c r="K60" s="249"/>
      <c r="L60" s="249"/>
      <c r="M60" s="249"/>
      <c r="N60" s="249"/>
      <c r="O60" s="249"/>
      <c r="P60" s="1553"/>
      <c r="Q60" s="985"/>
      <c r="R60" s="986"/>
      <c r="S60" s="2291"/>
      <c r="T60" s="249"/>
      <c r="U60" s="249"/>
      <c r="V60" s="304"/>
    </row>
    <row r="61" spans="1:22" ht="19.5" customHeight="1">
      <c r="A61" s="223" t="s">
        <v>915</v>
      </c>
      <c r="B61" s="871" t="s">
        <v>927</v>
      </c>
      <c r="C61" s="864">
        <f aca="true" t="shared" si="28" ref="C61:V61">C62</f>
        <v>1219</v>
      </c>
      <c r="D61" s="2478">
        <f t="shared" si="28"/>
        <v>2407</v>
      </c>
      <c r="E61" s="2481">
        <f t="shared" si="28"/>
        <v>141269</v>
      </c>
      <c r="F61" s="2482">
        <f t="shared" si="28"/>
        <v>4255.869894</v>
      </c>
      <c r="G61" s="2479">
        <f t="shared" si="28"/>
        <v>66600</v>
      </c>
      <c r="H61" s="701">
        <f t="shared" si="28"/>
        <v>0</v>
      </c>
      <c r="I61" s="702">
        <f t="shared" si="28"/>
        <v>66600</v>
      </c>
      <c r="J61" s="702">
        <f t="shared" si="28"/>
        <v>2006.3916</v>
      </c>
      <c r="K61" s="702">
        <f t="shared" si="28"/>
        <v>65600</v>
      </c>
      <c r="L61" s="702">
        <f t="shared" si="28"/>
        <v>0</v>
      </c>
      <c r="M61" s="702">
        <f t="shared" si="28"/>
        <v>64600</v>
      </c>
      <c r="N61" s="702">
        <f t="shared" si="28"/>
        <v>0</v>
      </c>
      <c r="O61" s="702">
        <f t="shared" si="28"/>
        <v>63300</v>
      </c>
      <c r="P61" s="1791">
        <f t="shared" si="28"/>
        <v>1906.9758</v>
      </c>
      <c r="Q61" s="1793">
        <f t="shared" si="28"/>
        <v>63300</v>
      </c>
      <c r="R61" s="2489">
        <f t="shared" si="28"/>
        <v>1906.9758</v>
      </c>
      <c r="S61" s="2486">
        <f t="shared" si="28"/>
        <v>63300</v>
      </c>
      <c r="T61" s="702">
        <f t="shared" si="28"/>
        <v>1906.9758</v>
      </c>
      <c r="U61" s="702">
        <f t="shared" si="28"/>
        <v>63300</v>
      </c>
      <c r="V61" s="703">
        <f t="shared" si="28"/>
        <v>1906.9758</v>
      </c>
    </row>
    <row r="62" spans="1:22" s="1" customFormat="1" ht="19.5" customHeight="1">
      <c r="A62" s="112" t="s">
        <v>916</v>
      </c>
      <c r="B62" s="787" t="s">
        <v>965</v>
      </c>
      <c r="C62" s="801">
        <f>SUM(C63:C66)</f>
        <v>1219</v>
      </c>
      <c r="D62" s="1522">
        <f>SUM(D63:D65)</f>
        <v>2407</v>
      </c>
      <c r="E62" s="770">
        <f>SUM(E63:E65)</f>
        <v>141269</v>
      </c>
      <c r="F62" s="480">
        <f>SUM(F63:F65)</f>
        <v>4255.869894</v>
      </c>
      <c r="G62" s="464">
        <f aca="true" t="shared" si="29" ref="G62:N62">SUM(G63:G65)</f>
        <v>66600</v>
      </c>
      <c r="H62" s="245">
        <f t="shared" si="29"/>
        <v>0</v>
      </c>
      <c r="I62" s="246">
        <f t="shared" si="29"/>
        <v>66600</v>
      </c>
      <c r="J62" s="246">
        <f t="shared" si="29"/>
        <v>2006.3916</v>
      </c>
      <c r="K62" s="246">
        <f t="shared" si="29"/>
        <v>65600</v>
      </c>
      <c r="L62" s="246">
        <f t="shared" si="29"/>
        <v>0</v>
      </c>
      <c r="M62" s="246">
        <f t="shared" si="29"/>
        <v>64600</v>
      </c>
      <c r="N62" s="246">
        <f t="shared" si="29"/>
        <v>0</v>
      </c>
      <c r="O62" s="246">
        <f>SUM(O63:O65)</f>
        <v>63300</v>
      </c>
      <c r="P62" s="1550">
        <f>SUM(P63:P65)</f>
        <v>1906.9758</v>
      </c>
      <c r="Q62" s="245">
        <f>SUM(Q63:Q65)</f>
        <v>63300</v>
      </c>
      <c r="R62" s="764">
        <f>SUM(R63:R65)</f>
        <v>1906.9758</v>
      </c>
      <c r="S62" s="2383">
        <v>63300</v>
      </c>
      <c r="T62" s="246">
        <f>S62*30.126/1000</f>
        <v>1906.9758</v>
      </c>
      <c r="U62" s="246">
        <v>63300</v>
      </c>
      <c r="V62" s="255">
        <f>U62*30.126/1000</f>
        <v>1906.9758</v>
      </c>
    </row>
    <row r="63" spans="1:22" ht="15" customHeight="1">
      <c r="A63" s="151"/>
      <c r="B63" s="872" t="s">
        <v>914</v>
      </c>
      <c r="C63" s="852">
        <v>603</v>
      </c>
      <c r="D63" s="1767">
        <v>539</v>
      </c>
      <c r="E63" s="771">
        <v>91646</v>
      </c>
      <c r="F63" s="185">
        <f>(E63*30.126)/1000</f>
        <v>2760.927396</v>
      </c>
      <c r="G63" s="465">
        <v>16600</v>
      </c>
      <c r="H63" s="353"/>
      <c r="I63" s="258">
        <v>16600</v>
      </c>
      <c r="J63" s="249">
        <f>I63*30.126/1000</f>
        <v>500.0916</v>
      </c>
      <c r="K63" s="258">
        <v>16600</v>
      </c>
      <c r="L63" s="258"/>
      <c r="M63" s="258">
        <v>16600</v>
      </c>
      <c r="N63" s="258"/>
      <c r="O63" s="258">
        <v>13300</v>
      </c>
      <c r="P63" s="1553">
        <f>O63*30.126/1000</f>
        <v>400.6758</v>
      </c>
      <c r="Q63" s="984">
        <v>13300</v>
      </c>
      <c r="R63" s="986">
        <f>Q63*30.126/1000</f>
        <v>400.6758</v>
      </c>
      <c r="S63" s="2289"/>
      <c r="T63" s="249"/>
      <c r="U63" s="258"/>
      <c r="V63" s="304"/>
    </row>
    <row r="64" spans="1:22" ht="15" customHeight="1" hidden="1">
      <c r="A64" s="143"/>
      <c r="B64" s="873" t="s">
        <v>601</v>
      </c>
      <c r="C64" s="863"/>
      <c r="D64" s="2477">
        <v>943</v>
      </c>
      <c r="E64" s="2370"/>
      <c r="F64" s="2480"/>
      <c r="G64" s="610"/>
      <c r="H64" s="625"/>
      <c r="I64" s="247"/>
      <c r="J64" s="247"/>
      <c r="K64" s="247"/>
      <c r="L64" s="247"/>
      <c r="M64" s="247"/>
      <c r="N64" s="247"/>
      <c r="O64" s="247"/>
      <c r="P64" s="1790"/>
      <c r="Q64" s="1792"/>
      <c r="R64" s="248"/>
      <c r="S64" s="2382"/>
      <c r="T64" s="247"/>
      <c r="U64" s="247"/>
      <c r="V64" s="331"/>
    </row>
    <row r="65" spans="1:22" ht="15" customHeight="1">
      <c r="A65" s="143"/>
      <c r="B65" s="869" t="s">
        <v>983</v>
      </c>
      <c r="C65" s="855">
        <v>616</v>
      </c>
      <c r="D65" s="382">
        <f>SUM(D66:D67)</f>
        <v>925</v>
      </c>
      <c r="E65" s="772">
        <f>SUM(E66:E67)</f>
        <v>49623</v>
      </c>
      <c r="F65" s="139">
        <f>SUM(F66:F67)</f>
        <v>1494.9424980000001</v>
      </c>
      <c r="G65" s="446">
        <f aca="true" t="shared" si="30" ref="G65:N65">SUM(G66:G67)</f>
        <v>50000</v>
      </c>
      <c r="H65" s="354">
        <f t="shared" si="30"/>
        <v>0</v>
      </c>
      <c r="I65" s="249">
        <f t="shared" si="30"/>
        <v>50000</v>
      </c>
      <c r="J65" s="249">
        <f t="shared" si="30"/>
        <v>1506.3</v>
      </c>
      <c r="K65" s="249">
        <f t="shared" si="30"/>
        <v>49000</v>
      </c>
      <c r="L65" s="249">
        <f t="shared" si="30"/>
        <v>0</v>
      </c>
      <c r="M65" s="249">
        <f t="shared" si="30"/>
        <v>48000</v>
      </c>
      <c r="N65" s="249">
        <f t="shared" si="30"/>
        <v>0</v>
      </c>
      <c r="O65" s="249">
        <f>SUM(O66:O67)</f>
        <v>50000</v>
      </c>
      <c r="P65" s="1553">
        <f>SUM(P66:P67)</f>
        <v>1506.3</v>
      </c>
      <c r="Q65" s="985">
        <f>SUM(Q66:Q67)</f>
        <v>50000</v>
      </c>
      <c r="R65" s="986">
        <f>SUM(R66:R67)</f>
        <v>1506.3</v>
      </c>
      <c r="S65" s="2291"/>
      <c r="T65" s="249"/>
      <c r="U65" s="249"/>
      <c r="V65" s="304"/>
    </row>
    <row r="66" spans="1:22" ht="15" customHeight="1">
      <c r="A66" s="150"/>
      <c r="B66" s="870" t="s">
        <v>661</v>
      </c>
      <c r="C66" s="863"/>
      <c r="D66" s="2477">
        <v>56</v>
      </c>
      <c r="E66" s="2370">
        <v>5979</v>
      </c>
      <c r="F66" s="2480">
        <f>(E66*30.126)/1000</f>
        <v>180.12335400000003</v>
      </c>
      <c r="G66" s="610">
        <v>10000</v>
      </c>
      <c r="H66" s="625"/>
      <c r="I66" s="247">
        <v>10000</v>
      </c>
      <c r="J66" s="249">
        <f>I66*30.126/1000</f>
        <v>301.26</v>
      </c>
      <c r="K66" s="247">
        <v>10000</v>
      </c>
      <c r="L66" s="247"/>
      <c r="M66" s="247">
        <v>10000</v>
      </c>
      <c r="N66" s="247"/>
      <c r="O66" s="247">
        <v>10000</v>
      </c>
      <c r="P66" s="1553">
        <f>O66*30.126/1000</f>
        <v>301.26</v>
      </c>
      <c r="Q66" s="1792">
        <v>10000</v>
      </c>
      <c r="R66" s="986">
        <f>Q66*30.126/1000</f>
        <v>301.26</v>
      </c>
      <c r="S66" s="2382"/>
      <c r="T66" s="249"/>
      <c r="U66" s="247"/>
      <c r="V66" s="304"/>
    </row>
    <row r="67" spans="1:22" ht="15" customHeight="1" thickBot="1">
      <c r="A67" s="327"/>
      <c r="B67" s="874" t="s">
        <v>662</v>
      </c>
      <c r="C67" s="865"/>
      <c r="D67" s="2367">
        <v>869</v>
      </c>
      <c r="E67" s="2374">
        <v>43644</v>
      </c>
      <c r="F67" s="2483">
        <f>(E67*30.126)/1000</f>
        <v>1314.819144</v>
      </c>
      <c r="G67" s="537">
        <v>40000</v>
      </c>
      <c r="H67" s="526"/>
      <c r="I67" s="280">
        <v>40000</v>
      </c>
      <c r="J67" s="280">
        <f>I67*30.126/1000</f>
        <v>1205.04</v>
      </c>
      <c r="K67" s="280">
        <v>39000</v>
      </c>
      <c r="L67" s="280"/>
      <c r="M67" s="280">
        <v>38000</v>
      </c>
      <c r="N67" s="280"/>
      <c r="O67" s="280">
        <v>40000</v>
      </c>
      <c r="P67" s="1578">
        <f>O67*30.126/1000</f>
        <v>1205.04</v>
      </c>
      <c r="Q67" s="2490">
        <v>40000</v>
      </c>
      <c r="R67" s="2491">
        <f>Q67*30.126/1000</f>
        <v>1205.04</v>
      </c>
      <c r="S67" s="2386"/>
      <c r="T67" s="280"/>
      <c r="U67" s="280"/>
      <c r="V67" s="528"/>
    </row>
    <row r="68" spans="1:22" s="6" customFormat="1" ht="12.75">
      <c r="A68" s="16"/>
      <c r="C68" s="4"/>
      <c r="D68" s="4"/>
      <c r="E68" s="4"/>
      <c r="F68" s="4"/>
      <c r="G68" s="4"/>
      <c r="H68" s="4"/>
      <c r="I68" s="4"/>
      <c r="J68" s="4"/>
      <c r="K68" s="4"/>
      <c r="L68" s="4"/>
      <c r="N68" s="4"/>
      <c r="O68" s="4"/>
      <c r="P68" s="4"/>
      <c r="Q68" s="4"/>
      <c r="R68" s="4"/>
      <c r="S68" s="4"/>
      <c r="T68" s="4"/>
      <c r="U68" s="4"/>
      <c r="V68" s="4"/>
    </row>
    <row r="69" spans="1:22" s="6" customFormat="1" ht="12.75">
      <c r="A69" s="16"/>
      <c r="C69" s="4"/>
      <c r="D69" s="4"/>
      <c r="E69" s="4"/>
      <c r="F69" s="4"/>
      <c r="G69" s="4"/>
      <c r="H69" s="4"/>
      <c r="I69" s="4"/>
      <c r="J69" s="4"/>
      <c r="K69" s="4"/>
      <c r="L69" s="4"/>
      <c r="N69" s="4"/>
      <c r="O69" s="4"/>
      <c r="P69" s="4"/>
      <c r="Q69" s="4"/>
      <c r="R69" s="4"/>
      <c r="S69" s="4"/>
      <c r="T69" s="4"/>
      <c r="U69" s="4"/>
      <c r="V69" s="4"/>
    </row>
    <row r="70" spans="1:22" s="6" customFormat="1" ht="12.75">
      <c r="A70" s="16"/>
      <c r="C70" s="4"/>
      <c r="D70" s="4"/>
      <c r="E70" s="4"/>
      <c r="F70" s="4"/>
      <c r="G70" s="4"/>
      <c r="H70" s="4"/>
      <c r="I70" s="4"/>
      <c r="J70" s="4"/>
      <c r="K70" s="4"/>
      <c r="L70" s="4"/>
      <c r="N70" s="4"/>
      <c r="O70" s="4"/>
      <c r="P70" s="4"/>
      <c r="Q70" s="4"/>
      <c r="R70" s="4"/>
      <c r="S70" s="4"/>
      <c r="T70" s="4"/>
      <c r="U70" s="4"/>
      <c r="V70" s="4"/>
    </row>
    <row r="71" spans="1:22" s="6" customFormat="1" ht="12.75">
      <c r="A71" s="16"/>
      <c r="C71" s="4"/>
      <c r="D71" s="4"/>
      <c r="E71" s="4"/>
      <c r="F71" s="4"/>
      <c r="G71" s="4"/>
      <c r="H71" s="4"/>
      <c r="I71" s="4"/>
      <c r="J71" s="4"/>
      <c r="K71" s="4"/>
      <c r="L71" s="4"/>
      <c r="N71" s="4"/>
      <c r="O71" s="4"/>
      <c r="P71" s="4"/>
      <c r="Q71" s="4"/>
      <c r="R71" s="4"/>
      <c r="S71" s="4"/>
      <c r="T71" s="4"/>
      <c r="U71" s="4"/>
      <c r="V71" s="4"/>
    </row>
    <row r="72" spans="1:22" s="6" customFormat="1" ht="12.75">
      <c r="A72" s="16"/>
      <c r="C72" s="4"/>
      <c r="D72" s="4"/>
      <c r="E72" s="4"/>
      <c r="F72" s="4"/>
      <c r="G72" s="4"/>
      <c r="H72" s="4"/>
      <c r="I72" s="4"/>
      <c r="J72" s="4"/>
      <c r="K72" s="4"/>
      <c r="L72" s="4"/>
      <c r="N72" s="4"/>
      <c r="O72" s="4"/>
      <c r="P72" s="4"/>
      <c r="Q72" s="4"/>
      <c r="R72" s="4"/>
      <c r="S72" s="4"/>
      <c r="T72" s="4"/>
      <c r="U72" s="4"/>
      <c r="V72" s="4"/>
    </row>
    <row r="73" spans="1:22" s="6" customFormat="1" ht="12.75">
      <c r="A73" s="16"/>
      <c r="C73" s="4"/>
      <c r="D73" s="4"/>
      <c r="E73" s="4"/>
      <c r="F73" s="4"/>
      <c r="G73" s="4"/>
      <c r="H73" s="4"/>
      <c r="I73" s="4"/>
      <c r="J73" s="4"/>
      <c r="K73" s="4"/>
      <c r="L73" s="4"/>
      <c r="N73" s="4"/>
      <c r="O73" s="4"/>
      <c r="P73" s="4"/>
      <c r="Q73" s="4"/>
      <c r="R73" s="4"/>
      <c r="S73" s="4"/>
      <c r="T73" s="4"/>
      <c r="U73" s="4"/>
      <c r="V73" s="4"/>
    </row>
    <row r="74" spans="1:22" s="6" customFormat="1" ht="12.75">
      <c r="A74" s="16"/>
      <c r="C74" s="4"/>
      <c r="D74" s="4"/>
      <c r="E74" s="4"/>
      <c r="F74" s="4"/>
      <c r="G74" s="4"/>
      <c r="H74" s="4"/>
      <c r="I74" s="4"/>
      <c r="J74" s="4"/>
      <c r="K74" s="4"/>
      <c r="L74" s="4"/>
      <c r="N74" s="4"/>
      <c r="O74" s="4"/>
      <c r="P74" s="4"/>
      <c r="Q74" s="4"/>
      <c r="R74" s="4"/>
      <c r="S74" s="4"/>
      <c r="T74" s="4"/>
      <c r="U74" s="4"/>
      <c r="V74" s="4"/>
    </row>
    <row r="75" spans="1:22" s="6" customFormat="1" ht="12.75">
      <c r="A75" s="16"/>
      <c r="C75" s="4"/>
      <c r="D75" s="4"/>
      <c r="E75" s="4"/>
      <c r="F75" s="4"/>
      <c r="G75" s="4"/>
      <c r="H75" s="4"/>
      <c r="I75" s="4"/>
      <c r="J75" s="4"/>
      <c r="K75" s="4"/>
      <c r="L75" s="4"/>
      <c r="N75" s="4"/>
      <c r="O75" s="4"/>
      <c r="P75" s="4"/>
      <c r="Q75" s="4"/>
      <c r="R75" s="4"/>
      <c r="S75" s="4"/>
      <c r="T75" s="4"/>
      <c r="U75" s="4"/>
      <c r="V75" s="4"/>
    </row>
    <row r="76" spans="1:22" s="6" customFormat="1" ht="12.75">
      <c r="A76" s="16"/>
      <c r="C76" s="4"/>
      <c r="D76" s="4"/>
      <c r="E76" s="4"/>
      <c r="F76" s="4"/>
      <c r="G76" s="4"/>
      <c r="H76" s="4"/>
      <c r="I76" s="4"/>
      <c r="J76" s="4"/>
      <c r="K76" s="4"/>
      <c r="L76" s="4"/>
      <c r="N76" s="4"/>
      <c r="O76" s="4"/>
      <c r="P76" s="4"/>
      <c r="Q76" s="4"/>
      <c r="R76" s="4"/>
      <c r="S76" s="4"/>
      <c r="T76" s="4"/>
      <c r="U76" s="4"/>
      <c r="V76" s="4"/>
    </row>
    <row r="77" spans="1:22" s="6" customFormat="1" ht="12.75">
      <c r="A77" s="16"/>
      <c r="C77" s="4"/>
      <c r="D77" s="4"/>
      <c r="E77" s="4"/>
      <c r="F77" s="4"/>
      <c r="G77" s="4"/>
      <c r="H77" s="4"/>
      <c r="I77" s="4"/>
      <c r="J77" s="4"/>
      <c r="K77" s="4"/>
      <c r="L77" s="4"/>
      <c r="N77" s="4"/>
      <c r="O77" s="4"/>
      <c r="P77" s="4"/>
      <c r="Q77" s="4"/>
      <c r="R77" s="4"/>
      <c r="S77" s="4"/>
      <c r="T77" s="4"/>
      <c r="U77" s="4"/>
      <c r="V77" s="4"/>
    </row>
    <row r="78" spans="1:22" s="6" customFormat="1" ht="12.75">
      <c r="A78" s="16"/>
      <c r="C78" s="4"/>
      <c r="D78" s="4"/>
      <c r="E78" s="4"/>
      <c r="F78" s="4"/>
      <c r="G78" s="4"/>
      <c r="H78" s="4"/>
      <c r="I78" s="4"/>
      <c r="J78" s="4"/>
      <c r="K78" s="4"/>
      <c r="L78" s="4"/>
      <c r="N78" s="4"/>
      <c r="O78" s="4"/>
      <c r="P78" s="4"/>
      <c r="Q78" s="4"/>
      <c r="R78" s="4"/>
      <c r="S78" s="4"/>
      <c r="T78" s="4"/>
      <c r="U78" s="4"/>
      <c r="V78" s="4"/>
    </row>
    <row r="79" spans="1:22" s="6" customFormat="1" ht="12.75">
      <c r="A79" s="16"/>
      <c r="C79" s="4"/>
      <c r="D79" s="4"/>
      <c r="E79" s="4"/>
      <c r="F79" s="4"/>
      <c r="G79" s="4"/>
      <c r="H79" s="4"/>
      <c r="I79" s="4"/>
      <c r="J79" s="4"/>
      <c r="K79" s="4"/>
      <c r="L79" s="4"/>
      <c r="N79" s="4"/>
      <c r="O79" s="4"/>
      <c r="P79" s="4"/>
      <c r="Q79" s="4"/>
      <c r="R79" s="4"/>
      <c r="S79" s="4"/>
      <c r="T79" s="4"/>
      <c r="U79" s="4"/>
      <c r="V79" s="4"/>
    </row>
    <row r="80" spans="1:22" s="6" customFormat="1" ht="12.75">
      <c r="A80" s="16"/>
      <c r="C80" s="4"/>
      <c r="D80" s="4"/>
      <c r="E80" s="4"/>
      <c r="F80" s="4"/>
      <c r="G80" s="4"/>
      <c r="H80" s="4"/>
      <c r="I80" s="4"/>
      <c r="J80" s="4"/>
      <c r="K80" s="4"/>
      <c r="L80" s="4"/>
      <c r="N80" s="4"/>
      <c r="O80" s="4"/>
      <c r="P80" s="4"/>
      <c r="Q80" s="4"/>
      <c r="R80" s="4"/>
      <c r="S80" s="4"/>
      <c r="T80" s="4"/>
      <c r="U80" s="4"/>
      <c r="V80" s="4"/>
    </row>
    <row r="81" spans="1:22" s="6" customFormat="1" ht="12.75">
      <c r="A81" s="16"/>
      <c r="C81" s="4"/>
      <c r="D81" s="4"/>
      <c r="E81" s="4"/>
      <c r="F81" s="4"/>
      <c r="G81" s="4"/>
      <c r="H81" s="4"/>
      <c r="I81" s="4"/>
      <c r="J81" s="4"/>
      <c r="K81" s="4"/>
      <c r="L81" s="4"/>
      <c r="N81" s="4"/>
      <c r="O81" s="4"/>
      <c r="P81" s="4"/>
      <c r="Q81" s="4"/>
      <c r="R81" s="4"/>
      <c r="S81" s="4"/>
      <c r="T81" s="4"/>
      <c r="U81" s="4"/>
      <c r="V81" s="4"/>
    </row>
    <row r="82" spans="1:22" s="6" customFormat="1" ht="12.75">
      <c r="A82" s="16"/>
      <c r="C82" s="4"/>
      <c r="D82" s="4"/>
      <c r="E82" s="4"/>
      <c r="F82" s="4"/>
      <c r="G82" s="4"/>
      <c r="H82" s="4"/>
      <c r="I82" s="4"/>
      <c r="J82" s="4"/>
      <c r="K82" s="4"/>
      <c r="L82" s="4"/>
      <c r="N82" s="4"/>
      <c r="O82" s="4"/>
      <c r="P82" s="4"/>
      <c r="Q82" s="4"/>
      <c r="R82" s="4"/>
      <c r="S82" s="4"/>
      <c r="T82" s="4"/>
      <c r="U82" s="4"/>
      <c r="V82" s="4"/>
    </row>
    <row r="83" spans="1:22" s="6" customFormat="1" ht="12.75">
      <c r="A83" s="16"/>
      <c r="C83" s="4"/>
      <c r="D83" s="4"/>
      <c r="E83" s="4"/>
      <c r="F83" s="4"/>
      <c r="G83" s="4"/>
      <c r="H83" s="4"/>
      <c r="I83" s="4"/>
      <c r="J83" s="4"/>
      <c r="K83" s="4"/>
      <c r="L83" s="4"/>
      <c r="N83" s="4"/>
      <c r="O83" s="4"/>
      <c r="P83" s="4"/>
      <c r="Q83" s="4"/>
      <c r="R83" s="4"/>
      <c r="S83" s="4"/>
      <c r="T83" s="4"/>
      <c r="U83" s="4"/>
      <c r="V83" s="4"/>
    </row>
    <row r="84" spans="1:22" s="6" customFormat="1" ht="12.75">
      <c r="A84" s="16"/>
      <c r="C84" s="4"/>
      <c r="D84" s="4"/>
      <c r="E84" s="4"/>
      <c r="F84" s="4"/>
      <c r="G84" s="4"/>
      <c r="H84" s="4"/>
      <c r="I84" s="4"/>
      <c r="J84" s="4"/>
      <c r="K84" s="4"/>
      <c r="L84" s="4"/>
      <c r="N84" s="4"/>
      <c r="O84" s="4"/>
      <c r="P84" s="4"/>
      <c r="Q84" s="4"/>
      <c r="R84" s="4"/>
      <c r="S84" s="4"/>
      <c r="T84" s="4"/>
      <c r="U84" s="4"/>
      <c r="V84" s="4"/>
    </row>
    <row r="85" spans="1:22" s="6" customFormat="1" ht="12.75">
      <c r="A85" s="16"/>
      <c r="C85" s="4"/>
      <c r="D85" s="4"/>
      <c r="E85" s="4"/>
      <c r="F85" s="4"/>
      <c r="G85" s="4"/>
      <c r="H85" s="4"/>
      <c r="I85" s="4"/>
      <c r="J85" s="4"/>
      <c r="K85" s="4"/>
      <c r="L85" s="4"/>
      <c r="N85" s="4"/>
      <c r="O85" s="4"/>
      <c r="P85" s="4"/>
      <c r="Q85" s="4"/>
      <c r="R85" s="4"/>
      <c r="S85" s="4"/>
      <c r="T85" s="4"/>
      <c r="U85" s="4"/>
      <c r="V85" s="4"/>
    </row>
    <row r="86" spans="1:22" s="6" customFormat="1" ht="12.75">
      <c r="A86" s="16"/>
      <c r="C86" s="4"/>
      <c r="D86" s="4"/>
      <c r="E86" s="4"/>
      <c r="F86" s="4"/>
      <c r="G86" s="4"/>
      <c r="H86" s="4"/>
      <c r="I86" s="4"/>
      <c r="J86" s="4"/>
      <c r="K86" s="4"/>
      <c r="L86" s="4"/>
      <c r="N86" s="4"/>
      <c r="O86" s="4"/>
      <c r="P86" s="4"/>
      <c r="Q86" s="4"/>
      <c r="R86" s="4"/>
      <c r="S86" s="4"/>
      <c r="T86" s="4"/>
      <c r="U86" s="4"/>
      <c r="V86" s="4"/>
    </row>
    <row r="87" spans="1:22" s="6" customFormat="1" ht="12.75">
      <c r="A87" s="16"/>
      <c r="C87" s="4"/>
      <c r="D87" s="4"/>
      <c r="E87" s="4"/>
      <c r="F87" s="4"/>
      <c r="G87" s="4"/>
      <c r="H87" s="4"/>
      <c r="I87" s="4"/>
      <c r="J87" s="4"/>
      <c r="K87" s="4"/>
      <c r="L87" s="4"/>
      <c r="N87" s="4"/>
      <c r="O87" s="4"/>
      <c r="P87" s="4"/>
      <c r="Q87" s="4"/>
      <c r="R87" s="4"/>
      <c r="S87" s="4"/>
      <c r="T87" s="4"/>
      <c r="U87" s="4"/>
      <c r="V87" s="4"/>
    </row>
    <row r="88" spans="1:22" s="6" customFormat="1" ht="12.75">
      <c r="A88" s="16"/>
      <c r="C88" s="4"/>
      <c r="D88" s="4"/>
      <c r="E88" s="4"/>
      <c r="F88" s="4"/>
      <c r="G88" s="4"/>
      <c r="H88" s="4"/>
      <c r="I88" s="4"/>
      <c r="J88" s="4"/>
      <c r="K88" s="4"/>
      <c r="L88" s="4"/>
      <c r="N88" s="4"/>
      <c r="O88" s="4"/>
      <c r="P88" s="4"/>
      <c r="Q88" s="4"/>
      <c r="R88" s="4"/>
      <c r="S88" s="4"/>
      <c r="T88" s="4"/>
      <c r="U88" s="4"/>
      <c r="V88" s="4"/>
    </row>
    <row r="89" spans="1:22" s="6" customFormat="1" ht="12.75">
      <c r="A89" s="16"/>
      <c r="C89" s="4"/>
      <c r="D89" s="4"/>
      <c r="E89" s="4"/>
      <c r="F89" s="4"/>
      <c r="G89" s="4"/>
      <c r="H89" s="4"/>
      <c r="I89" s="4"/>
      <c r="J89" s="4"/>
      <c r="K89" s="4"/>
      <c r="L89" s="4"/>
      <c r="N89" s="4"/>
      <c r="O89" s="4"/>
      <c r="P89" s="4"/>
      <c r="Q89" s="4"/>
      <c r="R89" s="4"/>
      <c r="S89" s="4"/>
      <c r="T89" s="4"/>
      <c r="U89" s="4"/>
      <c r="V89" s="4"/>
    </row>
    <row r="90" spans="1:22" s="6" customFormat="1" ht="12.75">
      <c r="A90" s="16"/>
      <c r="C90" s="4"/>
      <c r="D90" s="4"/>
      <c r="E90" s="4"/>
      <c r="F90" s="4"/>
      <c r="G90" s="4"/>
      <c r="H90" s="4"/>
      <c r="I90" s="4"/>
      <c r="J90" s="4"/>
      <c r="K90" s="4"/>
      <c r="L90" s="4"/>
      <c r="N90" s="4"/>
      <c r="O90" s="4"/>
      <c r="P90" s="4"/>
      <c r="Q90" s="4"/>
      <c r="R90" s="4"/>
      <c r="S90" s="4"/>
      <c r="T90" s="4"/>
      <c r="U90" s="4"/>
      <c r="V90" s="4"/>
    </row>
    <row r="91" spans="1:22" s="6" customFormat="1" ht="12.75">
      <c r="A91" s="16"/>
      <c r="C91" s="4"/>
      <c r="D91" s="4"/>
      <c r="E91" s="4"/>
      <c r="F91" s="4"/>
      <c r="G91" s="4"/>
      <c r="H91" s="4"/>
      <c r="I91" s="4"/>
      <c r="J91" s="4"/>
      <c r="K91" s="4"/>
      <c r="L91" s="4"/>
      <c r="N91" s="4"/>
      <c r="O91" s="4"/>
      <c r="P91" s="4"/>
      <c r="Q91" s="4"/>
      <c r="R91" s="4"/>
      <c r="S91" s="4"/>
      <c r="T91" s="4"/>
      <c r="U91" s="4"/>
      <c r="V91" s="4"/>
    </row>
    <row r="92" spans="1:22" s="6" customFormat="1" ht="12.75">
      <c r="A92" s="16"/>
      <c r="C92" s="4"/>
      <c r="D92" s="4"/>
      <c r="E92" s="4"/>
      <c r="F92" s="4"/>
      <c r="G92" s="4"/>
      <c r="H92" s="4"/>
      <c r="I92" s="4"/>
      <c r="J92" s="4"/>
      <c r="K92" s="4"/>
      <c r="L92" s="4"/>
      <c r="N92" s="4"/>
      <c r="O92" s="4"/>
      <c r="P92" s="4"/>
      <c r="Q92" s="4"/>
      <c r="R92" s="4"/>
      <c r="S92" s="4"/>
      <c r="T92" s="4"/>
      <c r="U92" s="4"/>
      <c r="V92" s="4"/>
    </row>
    <row r="93" spans="1:22" s="6" customFormat="1" ht="12.75">
      <c r="A93" s="16"/>
      <c r="C93" s="4"/>
      <c r="D93" s="4"/>
      <c r="E93" s="4"/>
      <c r="F93" s="4"/>
      <c r="G93" s="4"/>
      <c r="H93" s="4"/>
      <c r="I93" s="4"/>
      <c r="J93" s="4"/>
      <c r="K93" s="4"/>
      <c r="L93" s="4"/>
      <c r="N93" s="4"/>
      <c r="O93" s="4"/>
      <c r="P93" s="4"/>
      <c r="Q93" s="4"/>
      <c r="R93" s="4"/>
      <c r="S93" s="4"/>
      <c r="T93" s="4"/>
      <c r="U93" s="4"/>
      <c r="V93" s="4"/>
    </row>
    <row r="94" spans="1:22" s="6" customFormat="1" ht="12.75">
      <c r="A94" s="16"/>
      <c r="C94" s="4"/>
      <c r="D94" s="4"/>
      <c r="E94" s="4"/>
      <c r="F94" s="4"/>
      <c r="G94" s="4"/>
      <c r="H94" s="4"/>
      <c r="I94" s="4"/>
      <c r="J94" s="4"/>
      <c r="K94" s="4"/>
      <c r="L94" s="4"/>
      <c r="N94" s="4"/>
      <c r="O94" s="4"/>
      <c r="P94" s="4"/>
      <c r="Q94" s="4"/>
      <c r="R94" s="4"/>
      <c r="S94" s="4"/>
      <c r="T94" s="4"/>
      <c r="U94" s="4"/>
      <c r="V94" s="4"/>
    </row>
    <row r="95" spans="1:22" s="6" customFormat="1" ht="12.75">
      <c r="A95" s="16"/>
      <c r="C95" s="4"/>
      <c r="D95" s="4"/>
      <c r="E95" s="4"/>
      <c r="F95" s="4"/>
      <c r="G95" s="4"/>
      <c r="H95" s="4"/>
      <c r="I95" s="4"/>
      <c r="J95" s="4"/>
      <c r="K95" s="4"/>
      <c r="L95" s="4"/>
      <c r="N95" s="4"/>
      <c r="O95" s="4"/>
      <c r="P95" s="4"/>
      <c r="Q95" s="4"/>
      <c r="R95" s="4"/>
      <c r="S95" s="4"/>
      <c r="T95" s="4"/>
      <c r="U95" s="4"/>
      <c r="V95" s="4"/>
    </row>
    <row r="96" spans="1:22" s="6" customFormat="1" ht="12.75">
      <c r="A96" s="16"/>
      <c r="C96" s="4"/>
      <c r="D96" s="4"/>
      <c r="E96" s="4"/>
      <c r="F96" s="4"/>
      <c r="G96" s="4"/>
      <c r="H96" s="4"/>
      <c r="I96" s="4"/>
      <c r="J96" s="4"/>
      <c r="K96" s="4"/>
      <c r="L96" s="4"/>
      <c r="N96" s="4"/>
      <c r="O96" s="4"/>
      <c r="P96" s="4"/>
      <c r="Q96" s="4"/>
      <c r="R96" s="4"/>
      <c r="S96" s="4"/>
      <c r="T96" s="4"/>
      <c r="U96" s="4"/>
      <c r="V96" s="4"/>
    </row>
    <row r="97" spans="1:22" s="6" customFormat="1" ht="12.75">
      <c r="A97" s="16"/>
      <c r="C97" s="4"/>
      <c r="D97" s="4"/>
      <c r="E97" s="4"/>
      <c r="F97" s="4"/>
      <c r="G97" s="4"/>
      <c r="H97" s="4"/>
      <c r="I97" s="4"/>
      <c r="J97" s="4"/>
      <c r="K97" s="4"/>
      <c r="L97" s="4"/>
      <c r="N97" s="4"/>
      <c r="O97" s="4"/>
      <c r="P97" s="4"/>
      <c r="Q97" s="4"/>
      <c r="R97" s="4"/>
      <c r="S97" s="4"/>
      <c r="T97" s="4"/>
      <c r="U97" s="4"/>
      <c r="V97" s="4"/>
    </row>
    <row r="98" spans="1:22" s="6" customFormat="1" ht="12.75">
      <c r="A98" s="16"/>
      <c r="C98" s="4"/>
      <c r="D98" s="4"/>
      <c r="E98" s="4"/>
      <c r="F98" s="4"/>
      <c r="G98" s="4"/>
      <c r="H98" s="4"/>
      <c r="I98" s="4"/>
      <c r="J98" s="4"/>
      <c r="K98" s="4"/>
      <c r="L98" s="4"/>
      <c r="N98" s="4"/>
      <c r="O98" s="4"/>
      <c r="P98" s="4"/>
      <c r="Q98" s="4"/>
      <c r="R98" s="4"/>
      <c r="S98" s="4"/>
      <c r="T98" s="4"/>
      <c r="U98" s="4"/>
      <c r="V98" s="4"/>
    </row>
    <row r="99" spans="1:22" s="6" customFormat="1" ht="12.75">
      <c r="A99" s="16"/>
      <c r="C99" s="4"/>
      <c r="D99" s="4"/>
      <c r="E99" s="4"/>
      <c r="F99" s="4"/>
      <c r="G99" s="4"/>
      <c r="H99" s="4"/>
      <c r="I99" s="4"/>
      <c r="J99" s="4"/>
      <c r="K99" s="4"/>
      <c r="L99" s="4"/>
      <c r="N99" s="4"/>
      <c r="O99" s="4"/>
      <c r="P99" s="4"/>
      <c r="Q99" s="4"/>
      <c r="R99" s="4"/>
      <c r="S99" s="4"/>
      <c r="T99" s="4"/>
      <c r="U99" s="4"/>
      <c r="V99" s="4"/>
    </row>
    <row r="100" spans="1:22" s="6" customFormat="1" ht="12.75">
      <c r="A100" s="16"/>
      <c r="C100" s="4"/>
      <c r="D100" s="4"/>
      <c r="E100" s="4"/>
      <c r="F100" s="4"/>
      <c r="G100" s="4"/>
      <c r="H100" s="4"/>
      <c r="I100" s="4"/>
      <c r="J100" s="4"/>
      <c r="K100" s="4"/>
      <c r="L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s="6" customFormat="1" ht="12.75">
      <c r="A101" s="16"/>
      <c r="C101" s="4"/>
      <c r="D101" s="4"/>
      <c r="E101" s="4"/>
      <c r="F101" s="4"/>
      <c r="G101" s="4"/>
      <c r="H101" s="4"/>
      <c r="I101" s="4"/>
      <c r="J101" s="4"/>
      <c r="K101" s="4"/>
      <c r="L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s="6" customFormat="1" ht="12.75">
      <c r="A102" s="16"/>
      <c r="C102" s="4"/>
      <c r="D102" s="4"/>
      <c r="E102" s="4"/>
      <c r="F102" s="4"/>
      <c r="G102" s="4"/>
      <c r="H102" s="4"/>
      <c r="I102" s="4"/>
      <c r="J102" s="4"/>
      <c r="K102" s="4"/>
      <c r="L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s="6" customFormat="1" ht="12.75">
      <c r="A103" s="16"/>
      <c r="C103" s="4"/>
      <c r="D103" s="4"/>
      <c r="E103" s="4"/>
      <c r="F103" s="4"/>
      <c r="G103" s="4"/>
      <c r="H103" s="4"/>
      <c r="I103" s="4"/>
      <c r="J103" s="4"/>
      <c r="K103" s="4"/>
      <c r="L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s="6" customFormat="1" ht="12.75">
      <c r="A104" s="16"/>
      <c r="C104" s="4"/>
      <c r="D104" s="4"/>
      <c r="E104" s="4"/>
      <c r="F104" s="4"/>
      <c r="G104" s="4"/>
      <c r="H104" s="4"/>
      <c r="I104" s="4"/>
      <c r="J104" s="4"/>
      <c r="K104" s="4"/>
      <c r="L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s="6" customFormat="1" ht="12.75">
      <c r="A105" s="16"/>
      <c r="C105" s="4"/>
      <c r="D105" s="4"/>
      <c r="E105" s="4"/>
      <c r="F105" s="4"/>
      <c r="G105" s="4"/>
      <c r="H105" s="4"/>
      <c r="I105" s="4"/>
      <c r="J105" s="4"/>
      <c r="K105" s="4"/>
      <c r="L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s="6" customFormat="1" ht="12.75">
      <c r="A106" s="16"/>
      <c r="C106" s="4"/>
      <c r="D106" s="4"/>
      <c r="E106" s="4"/>
      <c r="F106" s="4"/>
      <c r="G106" s="4"/>
      <c r="H106" s="4"/>
      <c r="I106" s="4"/>
      <c r="J106" s="4"/>
      <c r="K106" s="4"/>
      <c r="L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s="6" customFormat="1" ht="12.75">
      <c r="A107" s="16"/>
      <c r="C107" s="4"/>
      <c r="D107" s="4"/>
      <c r="E107" s="4"/>
      <c r="F107" s="4"/>
      <c r="G107" s="4"/>
      <c r="H107" s="4"/>
      <c r="I107" s="4"/>
      <c r="J107" s="4"/>
      <c r="K107" s="4"/>
      <c r="L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s="6" customFormat="1" ht="12.75">
      <c r="A108" s="16"/>
      <c r="C108" s="4"/>
      <c r="D108" s="4"/>
      <c r="E108" s="4"/>
      <c r="F108" s="4"/>
      <c r="G108" s="4"/>
      <c r="H108" s="4"/>
      <c r="I108" s="4"/>
      <c r="J108" s="4"/>
      <c r="K108" s="4"/>
      <c r="L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s="6" customFormat="1" ht="12.75">
      <c r="A109" s="16"/>
      <c r="C109" s="4"/>
      <c r="D109" s="4"/>
      <c r="E109" s="4"/>
      <c r="F109" s="4"/>
      <c r="G109" s="4"/>
      <c r="H109" s="4"/>
      <c r="I109" s="4"/>
      <c r="J109" s="4"/>
      <c r="K109" s="4"/>
      <c r="L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s="6" customFormat="1" ht="12.75">
      <c r="A110" s="16"/>
      <c r="C110" s="4"/>
      <c r="D110" s="4"/>
      <c r="E110" s="4"/>
      <c r="F110" s="4"/>
      <c r="G110" s="4"/>
      <c r="H110" s="4"/>
      <c r="I110" s="4"/>
      <c r="J110" s="4"/>
      <c r="K110" s="4"/>
      <c r="L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s="6" customFormat="1" ht="12.75">
      <c r="A111" s="16"/>
      <c r="C111" s="4"/>
      <c r="D111" s="4"/>
      <c r="E111" s="4"/>
      <c r="F111" s="4"/>
      <c r="G111" s="4"/>
      <c r="H111" s="4"/>
      <c r="I111" s="4"/>
      <c r="J111" s="4"/>
      <c r="K111" s="4"/>
      <c r="L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s="6" customFormat="1" ht="12.75">
      <c r="A112" s="16"/>
      <c r="C112" s="4"/>
      <c r="D112" s="4"/>
      <c r="E112" s="4"/>
      <c r="F112" s="4"/>
      <c r="G112" s="4"/>
      <c r="H112" s="4"/>
      <c r="I112" s="4"/>
      <c r="J112" s="4"/>
      <c r="K112" s="4"/>
      <c r="L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s="6" customFormat="1" ht="12.75">
      <c r="A113" s="16"/>
      <c r="C113" s="4"/>
      <c r="D113" s="4"/>
      <c r="E113" s="4"/>
      <c r="F113" s="4"/>
      <c r="G113" s="4"/>
      <c r="H113" s="4"/>
      <c r="I113" s="4"/>
      <c r="J113" s="4"/>
      <c r="K113" s="4"/>
      <c r="L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s="6" customFormat="1" ht="12.75">
      <c r="A114" s="16"/>
      <c r="C114" s="4"/>
      <c r="D114" s="4"/>
      <c r="E114" s="4"/>
      <c r="F114" s="4"/>
      <c r="G114" s="4"/>
      <c r="H114" s="4"/>
      <c r="I114" s="4"/>
      <c r="J114" s="4"/>
      <c r="K114" s="4"/>
      <c r="L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s="6" customFormat="1" ht="12.75">
      <c r="A115" s="16"/>
      <c r="C115" s="4"/>
      <c r="D115" s="4"/>
      <c r="E115" s="4"/>
      <c r="F115" s="4"/>
      <c r="G115" s="4"/>
      <c r="H115" s="4"/>
      <c r="I115" s="4"/>
      <c r="J115" s="4"/>
      <c r="K115" s="4"/>
      <c r="L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s="6" customFormat="1" ht="12.75">
      <c r="A116" s="16"/>
      <c r="C116" s="4"/>
      <c r="D116" s="4"/>
      <c r="E116" s="4"/>
      <c r="F116" s="4"/>
      <c r="G116" s="4"/>
      <c r="H116" s="4"/>
      <c r="I116" s="4"/>
      <c r="J116" s="4"/>
      <c r="K116" s="4"/>
      <c r="L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s="6" customFormat="1" ht="12.75">
      <c r="A117" s="16"/>
      <c r="C117" s="4"/>
      <c r="D117" s="4"/>
      <c r="E117" s="4"/>
      <c r="F117" s="4"/>
      <c r="G117" s="4"/>
      <c r="H117" s="4"/>
      <c r="I117" s="4"/>
      <c r="J117" s="4"/>
      <c r="K117" s="4"/>
      <c r="L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s="6" customFormat="1" ht="12.75">
      <c r="A118" s="16"/>
      <c r="C118" s="4"/>
      <c r="D118" s="4"/>
      <c r="E118" s="4"/>
      <c r="F118" s="4"/>
      <c r="G118" s="4"/>
      <c r="H118" s="4"/>
      <c r="I118" s="4"/>
      <c r="J118" s="4"/>
      <c r="K118" s="4"/>
      <c r="L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s="6" customFormat="1" ht="12.75">
      <c r="A119" s="16"/>
      <c r="C119" s="4"/>
      <c r="D119" s="4"/>
      <c r="E119" s="4"/>
      <c r="F119" s="4"/>
      <c r="G119" s="4"/>
      <c r="H119" s="4"/>
      <c r="I119" s="4"/>
      <c r="J119" s="4"/>
      <c r="K119" s="4"/>
      <c r="L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s="6" customFormat="1" ht="12.75">
      <c r="A120" s="16"/>
      <c r="C120" s="4"/>
      <c r="D120" s="4"/>
      <c r="E120" s="4"/>
      <c r="F120" s="4"/>
      <c r="G120" s="4"/>
      <c r="H120" s="4"/>
      <c r="I120" s="4"/>
      <c r="J120" s="4"/>
      <c r="K120" s="4"/>
      <c r="L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s="6" customFormat="1" ht="12.75">
      <c r="A121" s="16"/>
      <c r="C121" s="4"/>
      <c r="D121" s="4"/>
      <c r="E121" s="4"/>
      <c r="F121" s="4"/>
      <c r="G121" s="4"/>
      <c r="H121" s="4"/>
      <c r="I121" s="4"/>
      <c r="J121" s="4"/>
      <c r="K121" s="4"/>
      <c r="L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s="6" customFormat="1" ht="12.75">
      <c r="A122" s="16"/>
      <c r="C122" s="4"/>
      <c r="D122" s="4"/>
      <c r="E122" s="4"/>
      <c r="F122" s="4"/>
      <c r="G122" s="4"/>
      <c r="H122" s="4"/>
      <c r="I122" s="4"/>
      <c r="J122" s="4"/>
      <c r="K122" s="4"/>
      <c r="L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s="6" customFormat="1" ht="12.75">
      <c r="A123" s="16"/>
      <c r="C123" s="4"/>
      <c r="D123" s="4"/>
      <c r="E123" s="4"/>
      <c r="F123" s="4"/>
      <c r="G123" s="4"/>
      <c r="H123" s="4"/>
      <c r="I123" s="4"/>
      <c r="J123" s="4"/>
      <c r="K123" s="4"/>
      <c r="L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s="6" customFormat="1" ht="12.75">
      <c r="A124" s="16"/>
      <c r="C124" s="4"/>
      <c r="D124" s="4"/>
      <c r="E124" s="4"/>
      <c r="F124" s="4"/>
      <c r="G124" s="4"/>
      <c r="H124" s="4"/>
      <c r="I124" s="4"/>
      <c r="J124" s="4"/>
      <c r="K124" s="4"/>
      <c r="L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s="6" customFormat="1" ht="12.75">
      <c r="A125" s="16"/>
      <c r="C125" s="4"/>
      <c r="D125" s="4"/>
      <c r="E125" s="4"/>
      <c r="F125" s="4"/>
      <c r="G125" s="4"/>
      <c r="H125" s="4"/>
      <c r="I125" s="4"/>
      <c r="J125" s="4"/>
      <c r="K125" s="4"/>
      <c r="L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s="6" customFormat="1" ht="12.75">
      <c r="A126" s="16"/>
      <c r="C126" s="4"/>
      <c r="D126" s="4"/>
      <c r="E126" s="4"/>
      <c r="F126" s="4"/>
      <c r="G126" s="4"/>
      <c r="H126" s="4"/>
      <c r="I126" s="4"/>
      <c r="J126" s="4"/>
      <c r="K126" s="4"/>
      <c r="L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s="6" customFormat="1" ht="12.75">
      <c r="A127" s="16"/>
      <c r="C127" s="4"/>
      <c r="D127" s="4"/>
      <c r="E127" s="4"/>
      <c r="F127" s="4"/>
      <c r="G127" s="4"/>
      <c r="H127" s="4"/>
      <c r="I127" s="4"/>
      <c r="J127" s="4"/>
      <c r="K127" s="4"/>
      <c r="L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s="6" customFormat="1" ht="12.75">
      <c r="A128" s="16"/>
      <c r="C128" s="4"/>
      <c r="D128" s="4"/>
      <c r="E128" s="4"/>
      <c r="F128" s="4"/>
      <c r="G128" s="4"/>
      <c r="H128" s="4"/>
      <c r="I128" s="4"/>
      <c r="J128" s="4"/>
      <c r="K128" s="4"/>
      <c r="L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s="6" customFormat="1" ht="12.75">
      <c r="A129" s="16"/>
      <c r="C129" s="4"/>
      <c r="D129" s="4"/>
      <c r="E129" s="4"/>
      <c r="F129" s="4"/>
      <c r="G129" s="4"/>
      <c r="H129" s="4"/>
      <c r="I129" s="4"/>
      <c r="J129" s="4"/>
      <c r="K129" s="4"/>
      <c r="L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s="6" customFormat="1" ht="12.75">
      <c r="A130" s="16"/>
      <c r="C130" s="4"/>
      <c r="D130" s="4"/>
      <c r="E130" s="4"/>
      <c r="F130" s="4"/>
      <c r="G130" s="4"/>
      <c r="H130" s="4"/>
      <c r="I130" s="4"/>
      <c r="J130" s="4"/>
      <c r="K130" s="4"/>
      <c r="L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s="6" customFormat="1" ht="12.75">
      <c r="A131" s="16"/>
      <c r="C131" s="4"/>
      <c r="D131" s="4"/>
      <c r="E131" s="4"/>
      <c r="F131" s="4"/>
      <c r="G131" s="4"/>
      <c r="H131" s="4"/>
      <c r="I131" s="4"/>
      <c r="J131" s="4"/>
      <c r="K131" s="4"/>
      <c r="L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s="6" customFormat="1" ht="12.75">
      <c r="A132" s="16"/>
      <c r="C132" s="4"/>
      <c r="D132" s="4"/>
      <c r="E132" s="4"/>
      <c r="F132" s="4"/>
      <c r="G132" s="4"/>
      <c r="H132" s="4"/>
      <c r="I132" s="4"/>
      <c r="J132" s="4"/>
      <c r="K132" s="4"/>
      <c r="L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s="6" customFormat="1" ht="12.75">
      <c r="A133" s="16"/>
      <c r="C133" s="4"/>
      <c r="D133" s="4"/>
      <c r="E133" s="4"/>
      <c r="F133" s="4"/>
      <c r="G133" s="4"/>
      <c r="H133" s="4"/>
      <c r="I133" s="4"/>
      <c r="J133" s="4"/>
      <c r="K133" s="4"/>
      <c r="L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s="6" customFormat="1" ht="12.75">
      <c r="A134" s="16"/>
      <c r="C134" s="4"/>
      <c r="D134" s="4"/>
      <c r="E134" s="4"/>
      <c r="F134" s="4"/>
      <c r="G134" s="4"/>
      <c r="H134" s="4"/>
      <c r="I134" s="4"/>
      <c r="J134" s="4"/>
      <c r="K134" s="4"/>
      <c r="L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s="6" customFormat="1" ht="12.75">
      <c r="A135" s="16"/>
      <c r="C135" s="4"/>
      <c r="D135" s="4"/>
      <c r="E135" s="4"/>
      <c r="F135" s="4"/>
      <c r="G135" s="4"/>
      <c r="H135" s="4"/>
      <c r="I135" s="4"/>
      <c r="J135" s="4"/>
      <c r="K135" s="4"/>
      <c r="L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s="6" customFormat="1" ht="12.75">
      <c r="A136" s="16"/>
      <c r="C136" s="4"/>
      <c r="D136" s="4"/>
      <c r="E136" s="4"/>
      <c r="F136" s="4"/>
      <c r="G136" s="4"/>
      <c r="H136" s="4"/>
      <c r="I136" s="4"/>
      <c r="J136" s="4"/>
      <c r="K136" s="4"/>
      <c r="L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s="6" customFormat="1" ht="12.75">
      <c r="A137" s="16"/>
      <c r="C137" s="4"/>
      <c r="D137" s="4"/>
      <c r="E137" s="4"/>
      <c r="F137" s="4"/>
      <c r="G137" s="4"/>
      <c r="H137" s="4"/>
      <c r="I137" s="4"/>
      <c r="J137" s="4"/>
      <c r="K137" s="4"/>
      <c r="L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s="6" customFormat="1" ht="12.75">
      <c r="A138" s="16"/>
      <c r="C138" s="4"/>
      <c r="D138" s="4"/>
      <c r="E138" s="4"/>
      <c r="F138" s="4"/>
      <c r="G138" s="4"/>
      <c r="H138" s="4"/>
      <c r="I138" s="4"/>
      <c r="J138" s="4"/>
      <c r="K138" s="4"/>
      <c r="L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s="6" customFormat="1" ht="12.75">
      <c r="A139" s="16"/>
      <c r="C139" s="4"/>
      <c r="D139" s="4"/>
      <c r="E139" s="4"/>
      <c r="F139" s="4"/>
      <c r="G139" s="4"/>
      <c r="H139" s="4"/>
      <c r="I139" s="4"/>
      <c r="J139" s="4"/>
      <c r="K139" s="4"/>
      <c r="L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s="6" customFormat="1" ht="12.75">
      <c r="A140" s="16"/>
      <c r="C140" s="4"/>
      <c r="D140" s="4"/>
      <c r="E140" s="4"/>
      <c r="F140" s="4"/>
      <c r="G140" s="4"/>
      <c r="H140" s="4"/>
      <c r="I140" s="4"/>
      <c r="J140" s="4"/>
      <c r="K140" s="4"/>
      <c r="L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s="6" customFormat="1" ht="12.75">
      <c r="A141" s="16"/>
      <c r="C141" s="4"/>
      <c r="D141" s="4"/>
      <c r="E141" s="4"/>
      <c r="F141" s="4"/>
      <c r="G141" s="4"/>
      <c r="H141" s="4"/>
      <c r="I141" s="4"/>
      <c r="J141" s="4"/>
      <c r="K141" s="4"/>
      <c r="L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s="6" customFormat="1" ht="12.75">
      <c r="A142" s="16"/>
      <c r="C142" s="4"/>
      <c r="D142" s="4"/>
      <c r="E142" s="4"/>
      <c r="F142" s="4"/>
      <c r="G142" s="4"/>
      <c r="H142" s="4"/>
      <c r="I142" s="4"/>
      <c r="J142" s="4"/>
      <c r="K142" s="4"/>
      <c r="L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s="6" customFormat="1" ht="12.75">
      <c r="A143" s="16"/>
      <c r="C143" s="4"/>
      <c r="D143" s="4"/>
      <c r="E143" s="4"/>
      <c r="F143" s="4"/>
      <c r="G143" s="4"/>
      <c r="H143" s="4"/>
      <c r="I143" s="4"/>
      <c r="J143" s="4"/>
      <c r="K143" s="4"/>
      <c r="L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s="6" customFormat="1" ht="12.75">
      <c r="A144" s="16"/>
      <c r="C144" s="4"/>
      <c r="D144" s="4"/>
      <c r="E144" s="4"/>
      <c r="F144" s="4"/>
      <c r="G144" s="4"/>
      <c r="H144" s="4"/>
      <c r="I144" s="4"/>
      <c r="J144" s="4"/>
      <c r="K144" s="4"/>
      <c r="L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s="6" customFormat="1" ht="12.75">
      <c r="A145" s="16"/>
      <c r="C145" s="4"/>
      <c r="D145" s="4"/>
      <c r="E145" s="4"/>
      <c r="F145" s="4"/>
      <c r="G145" s="4"/>
      <c r="H145" s="4"/>
      <c r="I145" s="4"/>
      <c r="J145" s="4"/>
      <c r="K145" s="4"/>
      <c r="L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s="6" customFormat="1" ht="12.75">
      <c r="A146" s="16"/>
      <c r="C146" s="4"/>
      <c r="D146" s="4"/>
      <c r="E146" s="4"/>
      <c r="F146" s="4"/>
      <c r="G146" s="4"/>
      <c r="H146" s="4"/>
      <c r="I146" s="4"/>
      <c r="J146" s="4"/>
      <c r="K146" s="4"/>
      <c r="L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s="6" customFormat="1" ht="12.75">
      <c r="A147" s="16"/>
      <c r="C147" s="4"/>
      <c r="D147" s="4"/>
      <c r="E147" s="4"/>
      <c r="F147" s="4"/>
      <c r="G147" s="4"/>
      <c r="H147" s="4"/>
      <c r="I147" s="4"/>
      <c r="J147" s="4"/>
      <c r="K147" s="4"/>
      <c r="L147" s="4"/>
      <c r="N147" s="4"/>
      <c r="O147" s="4"/>
      <c r="P147" s="4"/>
      <c r="Q147" s="4"/>
      <c r="R147" s="4"/>
      <c r="S147" s="4"/>
      <c r="T147" s="4"/>
      <c r="U147" s="4"/>
      <c r="V147" s="4"/>
    </row>
  </sheetData>
  <sheetProtection/>
  <mergeCells count="25">
    <mergeCell ref="Q2:R2"/>
    <mergeCell ref="Q12:Q13"/>
    <mergeCell ref="U2:V2"/>
    <mergeCell ref="U12:U13"/>
    <mergeCell ref="V12:V13"/>
    <mergeCell ref="R12:R13"/>
    <mergeCell ref="S2:T2"/>
    <mergeCell ref="S12:S13"/>
    <mergeCell ref="T12:T13"/>
    <mergeCell ref="A2:B3"/>
    <mergeCell ref="N12:N13"/>
    <mergeCell ref="M2:N2"/>
    <mergeCell ref="K2:L2"/>
    <mergeCell ref="K12:K13"/>
    <mergeCell ref="L12:L13"/>
    <mergeCell ref="E2:F2"/>
    <mergeCell ref="O12:O13"/>
    <mergeCell ref="P12:P13"/>
    <mergeCell ref="E12:E13"/>
    <mergeCell ref="F12:F13"/>
    <mergeCell ref="G12:G13"/>
    <mergeCell ref="H12:H13"/>
    <mergeCell ref="M12:M13"/>
    <mergeCell ref="I12:I13"/>
    <mergeCell ref="J12:J13"/>
  </mergeCells>
  <printOptions horizontalCentered="1"/>
  <pageMargins left="0" right="0.7874015748031497" top="1.1811023622047245" bottom="1.1811023622047245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="80" zoomScaleNormal="80"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1" sqref="F21"/>
    </sheetView>
  </sheetViews>
  <sheetFormatPr defaultColWidth="9.140625" defaultRowHeight="12.75"/>
  <cols>
    <col min="1" max="1" width="5.7109375" style="0" customWidth="1"/>
    <col min="2" max="2" width="53.421875" style="0" customWidth="1"/>
    <col min="3" max="10" width="12.7109375" style="0" customWidth="1"/>
    <col min="11" max="11" width="9.8515625" style="0" bestFit="1" customWidth="1"/>
  </cols>
  <sheetData>
    <row r="1" spans="1:10" s="23" customFormat="1" ht="39.75" customHeight="1" thickTop="1">
      <c r="A1" s="2952" t="s">
        <v>827</v>
      </c>
      <c r="B1" s="3024"/>
      <c r="C1" s="3012" t="s">
        <v>761</v>
      </c>
      <c r="D1" s="3023"/>
      <c r="E1" s="2859" t="s">
        <v>183</v>
      </c>
      <c r="F1" s="2860"/>
      <c r="G1" s="2865" t="s">
        <v>725</v>
      </c>
      <c r="H1" s="2863"/>
      <c r="I1" s="2863" t="s">
        <v>726</v>
      </c>
      <c r="J1" s="2864"/>
    </row>
    <row r="2" spans="1:10" s="24" customFormat="1" ht="15" customHeight="1" thickBot="1">
      <c r="A2" s="3025"/>
      <c r="B2" s="3026"/>
      <c r="C2" s="239" t="s">
        <v>435</v>
      </c>
      <c r="D2" s="1387" t="s">
        <v>966</v>
      </c>
      <c r="E2" s="238" t="s">
        <v>435</v>
      </c>
      <c r="F2" s="993" t="s">
        <v>966</v>
      </c>
      <c r="G2" s="2117" t="s">
        <v>435</v>
      </c>
      <c r="H2" s="239" t="s">
        <v>966</v>
      </c>
      <c r="I2" s="239" t="s">
        <v>435</v>
      </c>
      <c r="J2" s="307" t="s">
        <v>966</v>
      </c>
    </row>
    <row r="3" spans="1:10" s="388" customFormat="1" ht="19.5" customHeight="1">
      <c r="A3" s="2823" t="s">
        <v>347</v>
      </c>
      <c r="B3" s="2824" t="s">
        <v>1166</v>
      </c>
      <c r="C3" s="2825">
        <f>1!E149</f>
        <v>6911433</v>
      </c>
      <c r="D3" s="2826">
        <f>1!F149</f>
        <v>208213.53261400003</v>
      </c>
      <c r="E3" s="2834">
        <f>1!Q149</f>
        <v>4093920</v>
      </c>
      <c r="F3" s="2835">
        <f>1!R149</f>
        <v>123333.43392000001</v>
      </c>
      <c r="G3" s="2836">
        <f>1!S149</f>
        <v>3754324</v>
      </c>
      <c r="H3" s="2837">
        <f>1!T149</f>
        <v>113102.76482400001</v>
      </c>
      <c r="I3" s="2837">
        <f>1!U149</f>
        <v>3754324</v>
      </c>
      <c r="J3" s="2838">
        <f>1!V149</f>
        <v>113102.76482400001</v>
      </c>
    </row>
    <row r="4" spans="1:10" s="389" customFormat="1" ht="15" customHeight="1">
      <c r="A4" s="757"/>
      <c r="B4" s="2113" t="s">
        <v>322</v>
      </c>
      <c r="C4" s="2122">
        <f>1!E150</f>
        <v>1455961</v>
      </c>
      <c r="D4" s="2123">
        <f>1!F150</f>
        <v>43862.326836</v>
      </c>
      <c r="E4" s="1872">
        <f>1!Q150</f>
        <v>1497993</v>
      </c>
      <c r="F4" s="2127">
        <f>1!R150</f>
        <v>45128.537118</v>
      </c>
      <c r="G4" s="2118">
        <f>1!S150</f>
        <v>1457397</v>
      </c>
      <c r="H4" s="1873">
        <f>1!T150</f>
        <v>43905.542022</v>
      </c>
      <c r="I4" s="1873">
        <f>1!U150</f>
        <v>1457397</v>
      </c>
      <c r="J4" s="1874">
        <f>1!V150</f>
        <v>43905.542022</v>
      </c>
    </row>
    <row r="5" spans="1:10" s="389" customFormat="1" ht="15" customHeight="1">
      <c r="A5" s="758"/>
      <c r="B5" s="2113" t="s">
        <v>323</v>
      </c>
      <c r="C5" s="2122">
        <f>1!E151</f>
        <v>5455472</v>
      </c>
      <c r="D5" s="2123">
        <f>1!F151</f>
        <v>164351.20577800003</v>
      </c>
      <c r="E5" s="1872">
        <f>1!Q151</f>
        <v>2595927</v>
      </c>
      <c r="F5" s="2127">
        <f>1!R151</f>
        <v>78204.896802</v>
      </c>
      <c r="G5" s="2118">
        <f>1!S151</f>
        <v>2296927</v>
      </c>
      <c r="H5" s="1873">
        <f>1!T151</f>
        <v>69197.222802</v>
      </c>
      <c r="I5" s="1873">
        <f>1!U151</f>
        <v>2296927</v>
      </c>
      <c r="J5" s="1874">
        <f>1!V151</f>
        <v>69197.222802</v>
      </c>
    </row>
    <row r="6" spans="1:10" s="388" customFormat="1" ht="19.5" customHeight="1">
      <c r="A6" s="2823" t="s">
        <v>348</v>
      </c>
      <c r="B6" s="2824" t="s">
        <v>1131</v>
      </c>
      <c r="C6" s="2825">
        <f>2!E83</f>
        <v>1856198</v>
      </c>
      <c r="D6" s="2826">
        <f>2!F83</f>
        <v>55919.82094800001</v>
      </c>
      <c r="E6" s="2827">
        <f>2!Q83</f>
        <v>2573426</v>
      </c>
      <c r="F6" s="2828">
        <f>2!R83</f>
        <v>77527.00786</v>
      </c>
      <c r="G6" s="2829">
        <f>2!S83</f>
        <v>1856271</v>
      </c>
      <c r="H6" s="2830">
        <f>2!T83</f>
        <v>55922.02014600001</v>
      </c>
      <c r="I6" s="2830">
        <f>2!U83</f>
        <v>1856271</v>
      </c>
      <c r="J6" s="2831">
        <f>2!V83</f>
        <v>55922.02014600001</v>
      </c>
    </row>
    <row r="7" spans="1:10" s="389" customFormat="1" ht="15" customHeight="1">
      <c r="A7" s="757"/>
      <c r="B7" s="2113" t="s">
        <v>322</v>
      </c>
      <c r="C7" s="2122">
        <f>2!E84</f>
        <v>1123150</v>
      </c>
      <c r="D7" s="2123">
        <f>2!F84</f>
        <v>33836.01690000001</v>
      </c>
      <c r="E7" s="1872">
        <f>2!Q84</f>
        <v>1058768</v>
      </c>
      <c r="F7" s="2127">
        <f>2!R84</f>
        <v>31896.444768</v>
      </c>
      <c r="G7" s="2118">
        <f>2!S84</f>
        <v>1038768</v>
      </c>
      <c r="H7" s="1873">
        <f>2!T84</f>
        <v>31293.924768</v>
      </c>
      <c r="I7" s="1873">
        <f>2!U84</f>
        <v>1038768</v>
      </c>
      <c r="J7" s="1874">
        <f>2!V84</f>
        <v>31293.924768</v>
      </c>
    </row>
    <row r="8" spans="1:10" s="389" customFormat="1" ht="15" customHeight="1">
      <c r="A8" s="758"/>
      <c r="B8" s="2113" t="s">
        <v>323</v>
      </c>
      <c r="C8" s="2122">
        <f>2!E85</f>
        <v>733048</v>
      </c>
      <c r="D8" s="2123">
        <f>2!F85</f>
        <v>22083.804047999998</v>
      </c>
      <c r="E8" s="1872">
        <f>2!Q85</f>
        <v>1514658</v>
      </c>
      <c r="F8" s="2127">
        <f>2!R85</f>
        <v>45630.563092</v>
      </c>
      <c r="G8" s="2118">
        <f>2!S85</f>
        <v>817503</v>
      </c>
      <c r="H8" s="1873">
        <f>2!T85</f>
        <v>24628.095378000005</v>
      </c>
      <c r="I8" s="1873">
        <f>2!U85</f>
        <v>817503</v>
      </c>
      <c r="J8" s="1874">
        <f>2!V85</f>
        <v>24628.095378000005</v>
      </c>
    </row>
    <row r="9" spans="1:10" s="388" customFormat="1" ht="19.5" customHeight="1">
      <c r="A9" s="2823" t="s">
        <v>349</v>
      </c>
      <c r="B9" s="2824" t="s">
        <v>1032</v>
      </c>
      <c r="C9" s="2825">
        <f>3!E48</f>
        <v>2350743</v>
      </c>
      <c r="D9" s="2826">
        <f>3!F48</f>
        <v>70818.483618</v>
      </c>
      <c r="E9" s="2827">
        <f>3!Q48</f>
        <v>6711504</v>
      </c>
      <c r="F9" s="2828">
        <f>3!R48</f>
        <v>202190.48086200003</v>
      </c>
      <c r="G9" s="2829">
        <f>3!S48</f>
        <v>5595416</v>
      </c>
      <c r="H9" s="2830">
        <f>3!T48</f>
        <v>168567.502416</v>
      </c>
      <c r="I9" s="2830">
        <f>3!U48</f>
        <v>2374256</v>
      </c>
      <c r="J9" s="2831">
        <f>3!V48</f>
        <v>71526.83625600001</v>
      </c>
    </row>
    <row r="10" spans="1:10" s="389" customFormat="1" ht="15" customHeight="1">
      <c r="A10" s="757"/>
      <c r="B10" s="2113" t="s">
        <v>322</v>
      </c>
      <c r="C10" s="2122">
        <f>3!E49</f>
        <v>2327175</v>
      </c>
      <c r="D10" s="2123">
        <f>3!F49</f>
        <v>70108.47405</v>
      </c>
      <c r="E10" s="1872">
        <f>3!Q49</f>
        <v>2393701</v>
      </c>
      <c r="F10" s="2127">
        <f>3!R49</f>
        <v>72112.34768400001</v>
      </c>
      <c r="G10" s="2118">
        <f>3!S49</f>
        <v>2393701</v>
      </c>
      <c r="H10" s="1873">
        <f>3!T49</f>
        <v>72112.636326</v>
      </c>
      <c r="I10" s="1873">
        <f>3!U49</f>
        <v>2328062</v>
      </c>
      <c r="J10" s="1874">
        <f>3!V49</f>
        <v>70135.195812</v>
      </c>
    </row>
    <row r="11" spans="1:10" s="389" customFormat="1" ht="15" customHeight="1">
      <c r="A11" s="758"/>
      <c r="B11" s="2113" t="s">
        <v>323</v>
      </c>
      <c r="C11" s="2122">
        <f>3!E50</f>
        <v>23568</v>
      </c>
      <c r="D11" s="2123">
        <f>3!F50</f>
        <v>710.009568</v>
      </c>
      <c r="E11" s="1872">
        <f>3!Q50</f>
        <v>4317803</v>
      </c>
      <c r="F11" s="2127">
        <f>3!R50</f>
        <v>130078.133178</v>
      </c>
      <c r="G11" s="2118">
        <f>3!S50</f>
        <v>3201715</v>
      </c>
      <c r="H11" s="1873">
        <f>3!T50</f>
        <v>96454.86609000001</v>
      </c>
      <c r="I11" s="1873">
        <f>3!U50</f>
        <v>46194</v>
      </c>
      <c r="J11" s="1874">
        <f>3!V50</f>
        <v>1391.6404440000001</v>
      </c>
    </row>
    <row r="12" spans="1:10" s="388" customFormat="1" ht="19.5" customHeight="1">
      <c r="A12" s="2823">
        <v>4</v>
      </c>
      <c r="B12" s="2824" t="s">
        <v>1036</v>
      </c>
      <c r="C12" s="2825">
        <f>4!E40</f>
        <v>376113</v>
      </c>
      <c r="D12" s="2826">
        <f>4!F40</f>
        <v>11330.762454000002</v>
      </c>
      <c r="E12" s="2827">
        <f>4!Q40</f>
        <v>191521</v>
      </c>
      <c r="F12" s="2828">
        <f>4!R40</f>
        <v>5769.761646</v>
      </c>
      <c r="G12" s="2829">
        <f>4!S40</f>
        <v>528502</v>
      </c>
      <c r="H12" s="2830">
        <f>4!T40</f>
        <v>15921.651252</v>
      </c>
      <c r="I12" s="2830">
        <f>4!U40</f>
        <v>528502</v>
      </c>
      <c r="J12" s="2831">
        <f>4!V40</f>
        <v>15921.651252</v>
      </c>
    </row>
    <row r="13" spans="1:10" s="389" customFormat="1" ht="15" customHeight="1">
      <c r="A13" s="757"/>
      <c r="B13" s="2113" t="s">
        <v>322</v>
      </c>
      <c r="C13" s="2122">
        <f>4!E41</f>
        <v>25551</v>
      </c>
      <c r="D13" s="2123">
        <f>4!F41</f>
        <v>769.749426</v>
      </c>
      <c r="E13" s="1872">
        <f>4!Q41</f>
        <v>25551</v>
      </c>
      <c r="F13" s="2127">
        <f>4!R41</f>
        <v>769.749426</v>
      </c>
      <c r="G13" s="2118">
        <f>4!S41</f>
        <v>25551</v>
      </c>
      <c r="H13" s="1873">
        <f>4!T41</f>
        <v>769.749426</v>
      </c>
      <c r="I13" s="1873">
        <f>4!U41</f>
        <v>25551</v>
      </c>
      <c r="J13" s="1874">
        <f>4!V41</f>
        <v>769.749426</v>
      </c>
    </row>
    <row r="14" spans="1:10" s="389" customFormat="1" ht="15" customHeight="1">
      <c r="A14" s="758"/>
      <c r="B14" s="2113" t="s">
        <v>323</v>
      </c>
      <c r="C14" s="2122">
        <f>4!E42</f>
        <v>350562</v>
      </c>
      <c r="D14" s="2123">
        <f>4!F42</f>
        <v>10561.013028000001</v>
      </c>
      <c r="E14" s="1872">
        <f>4!Q42</f>
        <v>165970</v>
      </c>
      <c r="F14" s="2127">
        <f>4!R42</f>
        <v>5000.01222</v>
      </c>
      <c r="G14" s="2118">
        <f>4!S42</f>
        <v>502951</v>
      </c>
      <c r="H14" s="1873">
        <f>4!T42</f>
        <v>15151.901826000001</v>
      </c>
      <c r="I14" s="1873">
        <f>4!U42</f>
        <v>502951</v>
      </c>
      <c r="J14" s="1874">
        <f>4!V42</f>
        <v>15151.901826000001</v>
      </c>
    </row>
    <row r="15" spans="1:10" s="388" customFormat="1" ht="19.5" customHeight="1">
      <c r="A15" s="2823" t="s">
        <v>350</v>
      </c>
      <c r="B15" s="2824" t="s">
        <v>1048</v>
      </c>
      <c r="C15" s="2825">
        <f>5!E30</f>
        <v>945197</v>
      </c>
      <c r="D15" s="2826">
        <f>5!F30</f>
        <v>28475.012759999998</v>
      </c>
      <c r="E15" s="2827">
        <f>5!Q30</f>
        <v>999775</v>
      </c>
      <c r="F15" s="2828">
        <f>5!R30</f>
        <v>30119.221650000003</v>
      </c>
      <c r="G15" s="2829">
        <f>5!S30</f>
        <v>802904</v>
      </c>
      <c r="H15" s="2830">
        <f>5!T30</f>
        <v>24188.285904000004</v>
      </c>
      <c r="I15" s="2830">
        <f>5!U30</f>
        <v>770091</v>
      </c>
      <c r="J15" s="2831">
        <f>5!V30</f>
        <v>23199.761466000004</v>
      </c>
    </row>
    <row r="16" spans="1:10" s="389" customFormat="1" ht="15" customHeight="1">
      <c r="A16" s="757"/>
      <c r="B16" s="2113" t="s">
        <v>322</v>
      </c>
      <c r="C16" s="2122">
        <f>5!E31</f>
        <v>806347</v>
      </c>
      <c r="D16" s="2123">
        <f>5!F31</f>
        <v>24292.009722</v>
      </c>
      <c r="E16" s="1872">
        <f>5!Q31</f>
        <v>693745</v>
      </c>
      <c r="F16" s="2127">
        <f>5!R31</f>
        <v>20899.761870000002</v>
      </c>
      <c r="G16" s="2118">
        <f>5!S31</f>
        <v>693745</v>
      </c>
      <c r="H16" s="1873">
        <f>5!T31</f>
        <v>20899.761870000002</v>
      </c>
      <c r="I16" s="1873">
        <f>5!U31</f>
        <v>693745</v>
      </c>
      <c r="J16" s="1874">
        <f>5!V31</f>
        <v>20899.761870000002</v>
      </c>
    </row>
    <row r="17" spans="1:10" s="389" customFormat="1" ht="15" customHeight="1">
      <c r="A17" s="758"/>
      <c r="B17" s="2113" t="s">
        <v>323</v>
      </c>
      <c r="C17" s="2122">
        <f>5!E32</f>
        <v>138850</v>
      </c>
      <c r="D17" s="2123">
        <f>5!F32</f>
        <v>4183.003038</v>
      </c>
      <c r="E17" s="1872">
        <f>5!Q32</f>
        <v>306030</v>
      </c>
      <c r="F17" s="2127">
        <f>5!R32</f>
        <v>9219.459780000001</v>
      </c>
      <c r="G17" s="2118">
        <f>5!S32</f>
        <v>109159</v>
      </c>
      <c r="H17" s="1873">
        <f>5!T32</f>
        <v>3288.524034</v>
      </c>
      <c r="I17" s="1873">
        <f>5!U32</f>
        <v>76346</v>
      </c>
      <c r="J17" s="1874">
        <f>5!V32</f>
        <v>2299.999596</v>
      </c>
    </row>
    <row r="18" spans="1:10" s="388" customFormat="1" ht="19.5" customHeight="1">
      <c r="A18" s="2823">
        <v>6</v>
      </c>
      <c r="B18" s="2824" t="s">
        <v>1053</v>
      </c>
      <c r="C18" s="2825">
        <f>6!E4</f>
        <v>117172</v>
      </c>
      <c r="D18" s="2826">
        <f>6!F4</f>
        <v>3529.923672</v>
      </c>
      <c r="E18" s="2827">
        <f>6!Q4</f>
        <v>117172</v>
      </c>
      <c r="F18" s="2828">
        <f>6!R4</f>
        <v>3529.923672</v>
      </c>
      <c r="G18" s="2829">
        <f>6!S4</f>
        <v>117172</v>
      </c>
      <c r="H18" s="2830">
        <f>6!T4</f>
        <v>3529.9236720000004</v>
      </c>
      <c r="I18" s="2830">
        <f>6!U4</f>
        <v>117172</v>
      </c>
      <c r="J18" s="2831">
        <f>6!V4</f>
        <v>3529.9236720000004</v>
      </c>
    </row>
    <row r="19" spans="1:10" s="389" customFormat="1" ht="15" customHeight="1">
      <c r="A19" s="757"/>
      <c r="B19" s="2113" t="s">
        <v>322</v>
      </c>
      <c r="C19" s="2122">
        <f>6!E5</f>
        <v>117172</v>
      </c>
      <c r="D19" s="2123">
        <f>6!F5</f>
        <v>3529.923672</v>
      </c>
      <c r="E19" s="1872">
        <f>6!Q5</f>
        <v>117172</v>
      </c>
      <c r="F19" s="2127">
        <f>6!R5</f>
        <v>3529.923672</v>
      </c>
      <c r="G19" s="2118">
        <f>6!S5</f>
        <v>117172</v>
      </c>
      <c r="H19" s="1873">
        <f>6!T5</f>
        <v>3529.9236720000004</v>
      </c>
      <c r="I19" s="1873">
        <f>6!U5</f>
        <v>117172</v>
      </c>
      <c r="J19" s="1874">
        <f>6!V5</f>
        <v>3529.9236720000004</v>
      </c>
    </row>
    <row r="20" spans="1:10" s="389" customFormat="1" ht="15" customHeight="1">
      <c r="A20" s="758"/>
      <c r="B20" s="2113" t="s">
        <v>323</v>
      </c>
      <c r="C20" s="2122">
        <v>0</v>
      </c>
      <c r="D20" s="2123">
        <v>0</v>
      </c>
      <c r="E20" s="1872">
        <v>0</v>
      </c>
      <c r="F20" s="2127">
        <v>0</v>
      </c>
      <c r="G20" s="2118">
        <v>0</v>
      </c>
      <c r="H20" s="1873">
        <v>0</v>
      </c>
      <c r="I20" s="1873">
        <v>0</v>
      </c>
      <c r="J20" s="1874">
        <v>0</v>
      </c>
    </row>
    <row r="21" spans="1:11" s="388" customFormat="1" ht="19.5" customHeight="1">
      <c r="A21" s="2823" t="s">
        <v>351</v>
      </c>
      <c r="B21" s="2824" t="s">
        <v>118</v>
      </c>
      <c r="C21" s="2825">
        <f>7!E65</f>
        <v>1263661</v>
      </c>
      <c r="D21" s="2826">
        <f>7!F65</f>
        <v>38069.44762</v>
      </c>
      <c r="E21" s="2827">
        <f>7!Q65</f>
        <v>1527796</v>
      </c>
      <c r="F21" s="2828">
        <f>7!R65</f>
        <v>46026.382295999996</v>
      </c>
      <c r="G21" s="2829">
        <f>7!S65</f>
        <v>998946</v>
      </c>
      <c r="H21" s="2830">
        <f>7!T65</f>
        <v>30094.247196000004</v>
      </c>
      <c r="I21" s="2830">
        <f>7!U65</f>
        <v>998946</v>
      </c>
      <c r="J21" s="2831">
        <f>7!V65</f>
        <v>30094.247196000004</v>
      </c>
      <c r="K21" s="2858"/>
    </row>
    <row r="22" spans="1:11" s="389" customFormat="1" ht="15" customHeight="1">
      <c r="A22" s="757"/>
      <c r="B22" s="2113" t="s">
        <v>322</v>
      </c>
      <c r="C22" s="2122">
        <f>7!E66</f>
        <v>1109887</v>
      </c>
      <c r="D22" s="2123">
        <f>7!F66</f>
        <v>33436.455762</v>
      </c>
      <c r="E22" s="1872">
        <f>7!Q66</f>
        <v>971396</v>
      </c>
      <c r="F22" s="2127">
        <f>7!R66</f>
        <v>29264.275895999996</v>
      </c>
      <c r="G22" s="2118">
        <f>7!S66</f>
        <v>954246</v>
      </c>
      <c r="H22" s="1873">
        <f>7!T66</f>
        <v>28747.614996000004</v>
      </c>
      <c r="I22" s="1873">
        <f>7!U66</f>
        <v>954246</v>
      </c>
      <c r="J22" s="1874">
        <f>7!V66</f>
        <v>28747.614996000004</v>
      </c>
      <c r="K22" s="2857"/>
    </row>
    <row r="23" spans="1:10" s="389" customFormat="1" ht="15" customHeight="1">
      <c r="A23" s="758"/>
      <c r="B23" s="2113" t="s">
        <v>323</v>
      </c>
      <c r="C23" s="2122">
        <f>7!E67</f>
        <v>153774</v>
      </c>
      <c r="D23" s="2123">
        <f>7!F67</f>
        <v>4632.991858</v>
      </c>
      <c r="E23" s="1872">
        <f>7!Q67</f>
        <v>556400</v>
      </c>
      <c r="F23" s="2127">
        <f>7!R67</f>
        <v>16762.1064</v>
      </c>
      <c r="G23" s="2118">
        <f>7!S67</f>
        <v>44700</v>
      </c>
      <c r="H23" s="1873">
        <f>7!T67</f>
        <v>1346.6322</v>
      </c>
      <c r="I23" s="1873">
        <f>7!U67</f>
        <v>44700</v>
      </c>
      <c r="J23" s="1874">
        <f>7!V67</f>
        <v>1346.6322</v>
      </c>
    </row>
    <row r="24" spans="1:10" s="388" customFormat="1" ht="19.5" customHeight="1">
      <c r="A24" s="2823" t="s">
        <v>352</v>
      </c>
      <c r="B24" s="2824" t="s">
        <v>988</v>
      </c>
      <c r="C24" s="2825">
        <f>8!E100</f>
        <v>3513771</v>
      </c>
      <c r="D24" s="2826">
        <f>8!F100</f>
        <v>105855.79966200002</v>
      </c>
      <c r="E24" s="2827">
        <f>8!Q100</f>
        <v>4105106</v>
      </c>
      <c r="F24" s="2828">
        <f>8!R100</f>
        <v>123670.42335600001</v>
      </c>
      <c r="G24" s="2829">
        <f>8!S100</f>
        <v>4103487</v>
      </c>
      <c r="H24" s="2830">
        <f>8!T100</f>
        <v>123621.649362</v>
      </c>
      <c r="I24" s="2830">
        <f>8!U100</f>
        <v>3163062</v>
      </c>
      <c r="J24" s="2831">
        <f>8!V100</f>
        <v>95290.405812</v>
      </c>
    </row>
    <row r="25" spans="1:10" s="389" customFormat="1" ht="15" customHeight="1">
      <c r="A25" s="757"/>
      <c r="B25" s="2113" t="s">
        <v>322</v>
      </c>
      <c r="C25" s="2122">
        <f>8!E101</f>
        <v>3170799</v>
      </c>
      <c r="D25" s="2123">
        <f>8!F101</f>
        <v>95523.42519000001</v>
      </c>
      <c r="E25" s="1872">
        <f>8!Q101</f>
        <v>3026926</v>
      </c>
      <c r="F25" s="2127">
        <f>8!R101</f>
        <v>91189.17267600002</v>
      </c>
      <c r="G25" s="2118">
        <f>8!S101</f>
        <v>3025307</v>
      </c>
      <c r="H25" s="1873">
        <f>8!T101</f>
        <v>91140.398682</v>
      </c>
      <c r="I25" s="1873">
        <f>8!U101</f>
        <v>3025307</v>
      </c>
      <c r="J25" s="1874">
        <f>8!V101</f>
        <v>91140.398682</v>
      </c>
    </row>
    <row r="26" spans="1:10" s="389" customFormat="1" ht="15" customHeight="1">
      <c r="A26" s="758"/>
      <c r="B26" s="2113" t="s">
        <v>323</v>
      </c>
      <c r="C26" s="2122">
        <f>8!E102</f>
        <v>342972</v>
      </c>
      <c r="D26" s="2123">
        <f>8!F102</f>
        <v>10332.374472</v>
      </c>
      <c r="E26" s="1872">
        <f>8!Q102</f>
        <v>1078180</v>
      </c>
      <c r="F26" s="2127">
        <f>8!R102</f>
        <v>32481.250679999997</v>
      </c>
      <c r="G26" s="2118">
        <f>8!S102</f>
        <v>1078180</v>
      </c>
      <c r="H26" s="1873">
        <f>8!T102</f>
        <v>32481.250679999997</v>
      </c>
      <c r="I26" s="1873">
        <f>8!U102</f>
        <v>137755</v>
      </c>
      <c r="J26" s="1874">
        <f>8!V102</f>
        <v>4150.00713</v>
      </c>
    </row>
    <row r="27" spans="1:10" s="388" customFormat="1" ht="19.5" customHeight="1">
      <c r="A27" s="2823" t="s">
        <v>353</v>
      </c>
      <c r="B27" s="2824" t="s">
        <v>922</v>
      </c>
      <c r="C27" s="2825">
        <f>9!E234</f>
        <v>13027585</v>
      </c>
      <c r="D27" s="2826">
        <f>9!F234</f>
        <v>392468.793588</v>
      </c>
      <c r="E27" s="2827">
        <f>9!Q234</f>
        <v>14057223</v>
      </c>
      <c r="F27" s="2828">
        <f>9!R234</f>
        <v>423487.526758</v>
      </c>
      <c r="G27" s="2829">
        <f>9!S234</f>
        <v>12541653</v>
      </c>
      <c r="H27" s="2830">
        <f>9!T234</f>
        <v>377829.838278</v>
      </c>
      <c r="I27" s="2830">
        <f>9!U234</f>
        <v>12431199</v>
      </c>
      <c r="J27" s="2831">
        <f>9!V234</f>
        <v>374502.301074</v>
      </c>
    </row>
    <row r="28" spans="1:10" s="389" customFormat="1" ht="15" customHeight="1">
      <c r="A28" s="757"/>
      <c r="B28" s="2113" t="s">
        <v>322</v>
      </c>
      <c r="C28" s="2122">
        <f>9!E235</f>
        <v>11940759</v>
      </c>
      <c r="D28" s="2123">
        <f>9!F235</f>
        <v>359727.40318</v>
      </c>
      <c r="E28" s="1872">
        <f>9!Q235</f>
        <v>11616329</v>
      </c>
      <c r="F28" s="2127">
        <f>9!R235</f>
        <v>349953.154114</v>
      </c>
      <c r="G28" s="2118">
        <f>9!S235</f>
        <v>11604154</v>
      </c>
      <c r="H28" s="1873">
        <f>9!T235</f>
        <v>349586.743404</v>
      </c>
      <c r="I28" s="1873">
        <f>9!U235</f>
        <v>11595199</v>
      </c>
      <c r="J28" s="1874">
        <f>9!V235</f>
        <v>349316.965074</v>
      </c>
    </row>
    <row r="29" spans="1:10" s="389" customFormat="1" ht="15" customHeight="1">
      <c r="A29" s="758"/>
      <c r="B29" s="2113" t="s">
        <v>323</v>
      </c>
      <c r="C29" s="2122">
        <f>9!E236</f>
        <v>1086826</v>
      </c>
      <c r="D29" s="2123">
        <f>9!F236</f>
        <v>32741.390408</v>
      </c>
      <c r="E29" s="1872">
        <f>9!Q236</f>
        <v>2440894</v>
      </c>
      <c r="F29" s="2127">
        <f>9!R236</f>
        <v>73534.372644</v>
      </c>
      <c r="G29" s="2118">
        <f>9!S236</f>
        <v>937499</v>
      </c>
      <c r="H29" s="1873">
        <f>9!T236</f>
        <v>28243.094874</v>
      </c>
      <c r="I29" s="1873">
        <f>9!U236</f>
        <v>836000</v>
      </c>
      <c r="J29" s="1874">
        <f>9!V236</f>
        <v>25185.336</v>
      </c>
    </row>
    <row r="30" spans="1:10" s="388" customFormat="1" ht="19.5" customHeight="1">
      <c r="A30" s="2823" t="s">
        <v>354</v>
      </c>
      <c r="B30" s="2824" t="s">
        <v>1105</v>
      </c>
      <c r="C30" s="2825">
        <f>'10'!E4</f>
        <v>1585604</v>
      </c>
      <c r="D30" s="2826">
        <f>'10'!F4</f>
        <v>47767.90610400001</v>
      </c>
      <c r="E30" s="2827">
        <f>'10'!Q4</f>
        <v>1439659</v>
      </c>
      <c r="F30" s="2828">
        <f>'10'!R4</f>
        <v>43371.167034</v>
      </c>
      <c r="G30" s="2829">
        <f>'10'!S4</f>
        <v>1439659</v>
      </c>
      <c r="H30" s="2830">
        <f>'10'!T4</f>
        <v>43371.167034</v>
      </c>
      <c r="I30" s="2830">
        <f>'10'!U4</f>
        <v>1439659</v>
      </c>
      <c r="J30" s="2831">
        <f>'10'!V4</f>
        <v>43371.167034</v>
      </c>
    </row>
    <row r="31" spans="1:10" s="389" customFormat="1" ht="15" customHeight="1">
      <c r="A31" s="757"/>
      <c r="B31" s="2113" t="s">
        <v>322</v>
      </c>
      <c r="C31" s="2122">
        <f>'10'!E6+'10'!E21</f>
        <v>1247523</v>
      </c>
      <c r="D31" s="2123">
        <f>'10'!F6+'10'!F21</f>
        <v>37582.877898000006</v>
      </c>
      <c r="E31" s="1872">
        <f>'10'!Q6+'10'!Q21</f>
        <v>1234950</v>
      </c>
      <c r="F31" s="2127">
        <f>'10'!R6+'10'!R21</f>
        <v>37204.1037</v>
      </c>
      <c r="G31" s="2118">
        <f>'10'!S6+'10'!S21</f>
        <v>1234950</v>
      </c>
      <c r="H31" s="1873">
        <f>'10'!T6+'10'!T21</f>
        <v>37204.1037</v>
      </c>
      <c r="I31" s="1873">
        <f>'10'!U6+'10'!U21</f>
        <v>1234950</v>
      </c>
      <c r="J31" s="1874">
        <f>'10'!V6+'10'!V21</f>
        <v>37204.1037</v>
      </c>
    </row>
    <row r="32" spans="1:10" s="389" customFormat="1" ht="15" customHeight="1">
      <c r="A32" s="758"/>
      <c r="B32" s="2113" t="s">
        <v>323</v>
      </c>
      <c r="C32" s="2122">
        <f>'10'!E23</f>
        <v>338081</v>
      </c>
      <c r="D32" s="2123">
        <f>'10'!F23</f>
        <v>10185.028205999999</v>
      </c>
      <c r="E32" s="1872">
        <f>'10'!Q23</f>
        <v>204709</v>
      </c>
      <c r="F32" s="2127">
        <f>'10'!R23</f>
        <v>6167.063334</v>
      </c>
      <c r="G32" s="2118">
        <f>'10'!S23</f>
        <v>204709</v>
      </c>
      <c r="H32" s="1873">
        <f>'10'!T23</f>
        <v>6167.0633339999995</v>
      </c>
      <c r="I32" s="1873">
        <f>'10'!U23</f>
        <v>204709</v>
      </c>
      <c r="J32" s="1874">
        <f>'10'!V23</f>
        <v>6167.0633339999995</v>
      </c>
    </row>
    <row r="33" spans="1:10" s="388" customFormat="1" ht="19.5" customHeight="1">
      <c r="A33" s="2823" t="s">
        <v>355</v>
      </c>
      <c r="B33" s="2824" t="s">
        <v>148</v>
      </c>
      <c r="C33" s="2825">
        <f>'11'!E109</f>
        <v>720206</v>
      </c>
      <c r="D33" s="2826">
        <f>'11'!F109</f>
        <v>21696.925956</v>
      </c>
      <c r="E33" s="2827">
        <f>'11'!Q109</f>
        <v>665027</v>
      </c>
      <c r="F33" s="2828">
        <f>'11'!R109</f>
        <v>20034.091402000002</v>
      </c>
      <c r="G33" s="2829">
        <f>'11'!S109</f>
        <v>582559</v>
      </c>
      <c r="H33" s="2830">
        <f>'11'!T109</f>
        <v>17550.172434</v>
      </c>
      <c r="I33" s="2830">
        <f>'11'!U109</f>
        <v>633013</v>
      </c>
      <c r="J33" s="2831">
        <f>'11'!V109</f>
        <v>19070.149638000003</v>
      </c>
    </row>
    <row r="34" spans="1:10" s="389" customFormat="1" ht="15" customHeight="1">
      <c r="A34" s="757"/>
      <c r="B34" s="2113" t="s">
        <v>322</v>
      </c>
      <c r="C34" s="2122">
        <f>'11'!E110</f>
        <v>627844</v>
      </c>
      <c r="D34" s="2123">
        <f>'11'!F110</f>
        <v>18914.428344</v>
      </c>
      <c r="E34" s="1872">
        <f>'11'!Q110</f>
        <v>641613</v>
      </c>
      <c r="F34" s="2127">
        <f>'11'!R110</f>
        <v>19328.721238000002</v>
      </c>
      <c r="G34" s="2118">
        <f>'11'!S110</f>
        <v>579559</v>
      </c>
      <c r="H34" s="1873">
        <f>'11'!T110</f>
        <v>17459.794434</v>
      </c>
      <c r="I34" s="1873">
        <f>'11'!U110</f>
        <v>630013</v>
      </c>
      <c r="J34" s="1874">
        <f>'11'!V110</f>
        <v>18979.771638000002</v>
      </c>
    </row>
    <row r="35" spans="1:10" s="389" customFormat="1" ht="15" customHeight="1">
      <c r="A35" s="758"/>
      <c r="B35" s="2113" t="s">
        <v>323</v>
      </c>
      <c r="C35" s="2122">
        <f>'11'!E111</f>
        <v>92362</v>
      </c>
      <c r="D35" s="2123">
        <f>'11'!F111</f>
        <v>2782.497612</v>
      </c>
      <c r="E35" s="1872">
        <f>'11'!Q111</f>
        <v>23414</v>
      </c>
      <c r="F35" s="2127">
        <f>'11'!R111</f>
        <v>705.370164</v>
      </c>
      <c r="G35" s="2118">
        <f>'11'!S111</f>
        <v>3000</v>
      </c>
      <c r="H35" s="1873">
        <f>'11'!T111</f>
        <v>90.378</v>
      </c>
      <c r="I35" s="1873">
        <f>'11'!U111</f>
        <v>3000</v>
      </c>
      <c r="J35" s="1874">
        <f>'11'!V111</f>
        <v>90.378</v>
      </c>
    </row>
    <row r="36" spans="1:10" s="388" customFormat="1" ht="19.5" customHeight="1">
      <c r="A36" s="2823" t="s">
        <v>356</v>
      </c>
      <c r="B36" s="2824" t="s">
        <v>681</v>
      </c>
      <c r="C36" s="2825">
        <f>'12'!E60</f>
        <v>376004</v>
      </c>
      <c r="D36" s="2826">
        <f>'12'!F60</f>
        <v>11327.496504</v>
      </c>
      <c r="E36" s="2827">
        <f>'12'!Q60</f>
        <v>294019</v>
      </c>
      <c r="F36" s="2828">
        <f>'12'!R60</f>
        <v>8857.616394</v>
      </c>
      <c r="G36" s="2829">
        <f>'12'!S60</f>
        <v>295183</v>
      </c>
      <c r="H36" s="2830">
        <f>'12'!T60</f>
        <v>8892.683058</v>
      </c>
      <c r="I36" s="2830">
        <f>'12'!U60</f>
        <v>295183</v>
      </c>
      <c r="J36" s="2831">
        <f>'12'!V60</f>
        <v>8892.683058</v>
      </c>
    </row>
    <row r="37" spans="1:10" s="389" customFormat="1" ht="15" customHeight="1">
      <c r="A37" s="757"/>
      <c r="B37" s="2113" t="s">
        <v>322</v>
      </c>
      <c r="C37" s="2122">
        <f>'12'!E61</f>
        <v>360403</v>
      </c>
      <c r="D37" s="2123">
        <f>'12'!F61</f>
        <v>10857.500778000001</v>
      </c>
      <c r="E37" s="1872">
        <f>'12'!Q61</f>
        <v>290719</v>
      </c>
      <c r="F37" s="2127">
        <f>'12'!R61</f>
        <v>8758.200594</v>
      </c>
      <c r="G37" s="2118">
        <f>'12'!S61</f>
        <v>291883</v>
      </c>
      <c r="H37" s="1873">
        <f>'12'!T61</f>
        <v>8793.267258000002</v>
      </c>
      <c r="I37" s="1873">
        <f>'12'!U61</f>
        <v>291883</v>
      </c>
      <c r="J37" s="1874">
        <f>'12'!V61</f>
        <v>8793.267258000002</v>
      </c>
    </row>
    <row r="38" spans="1:10" s="389" customFormat="1" ht="15" customHeight="1">
      <c r="A38" s="758"/>
      <c r="B38" s="2113" t="s">
        <v>323</v>
      </c>
      <c r="C38" s="2122">
        <f>'12'!E62</f>
        <v>15601</v>
      </c>
      <c r="D38" s="2123">
        <f>'12'!F62</f>
        <v>469.99572600000005</v>
      </c>
      <c r="E38" s="1872">
        <f>'12'!Q62</f>
        <v>3300</v>
      </c>
      <c r="F38" s="2127">
        <f>'12'!R62</f>
        <v>99.4158</v>
      </c>
      <c r="G38" s="2118">
        <f>'12'!S62</f>
        <v>3300</v>
      </c>
      <c r="H38" s="1873">
        <f>'12'!T62</f>
        <v>99.4158</v>
      </c>
      <c r="I38" s="1873">
        <f>'12'!U62</f>
        <v>3300</v>
      </c>
      <c r="J38" s="1874">
        <f>'12'!V62</f>
        <v>99.4158</v>
      </c>
    </row>
    <row r="39" spans="1:10" s="388" customFormat="1" ht="19.5" customHeight="1">
      <c r="A39" s="2823" t="s">
        <v>357</v>
      </c>
      <c r="B39" s="2824" t="s">
        <v>1063</v>
      </c>
      <c r="C39" s="2825">
        <f>'13'!E4</f>
        <v>41592</v>
      </c>
      <c r="D39" s="2826">
        <f>'13'!F4</f>
        <v>1253.0005919999999</v>
      </c>
      <c r="E39" s="2827">
        <f>'13'!Q4</f>
        <v>37510</v>
      </c>
      <c r="F39" s="2828">
        <f>'13'!R4</f>
        <v>1130.02626</v>
      </c>
      <c r="G39" s="2829">
        <f>'13'!S4</f>
        <v>37510</v>
      </c>
      <c r="H39" s="2830">
        <f>'13'!T4</f>
        <v>1130.02626</v>
      </c>
      <c r="I39" s="2830">
        <f>'13'!U4</f>
        <v>37510</v>
      </c>
      <c r="J39" s="2831">
        <f>'13'!V4</f>
        <v>1130.02626</v>
      </c>
    </row>
    <row r="40" spans="1:10" s="389" customFormat="1" ht="15" customHeight="1">
      <c r="A40" s="757"/>
      <c r="B40" s="2113" t="s">
        <v>322</v>
      </c>
      <c r="C40" s="2122">
        <f>'13'!E5</f>
        <v>41592</v>
      </c>
      <c r="D40" s="2123">
        <f>'13'!F5</f>
        <v>1253.0005919999999</v>
      </c>
      <c r="E40" s="1872">
        <f>'13'!Q5</f>
        <v>37510</v>
      </c>
      <c r="F40" s="2127">
        <f>'13'!R5</f>
        <v>1130.02626</v>
      </c>
      <c r="G40" s="2118">
        <f>'13'!S5</f>
        <v>37510</v>
      </c>
      <c r="H40" s="1873">
        <f>'13'!T5</f>
        <v>1130.02626</v>
      </c>
      <c r="I40" s="1873">
        <f>'13'!U5</f>
        <v>37510</v>
      </c>
      <c r="J40" s="1874">
        <f>'13'!V5</f>
        <v>1130.02626</v>
      </c>
    </row>
    <row r="41" spans="1:10" s="389" customFormat="1" ht="15" customHeight="1">
      <c r="A41" s="758"/>
      <c r="B41" s="2113" t="s">
        <v>323</v>
      </c>
      <c r="C41" s="2122">
        <v>0</v>
      </c>
      <c r="D41" s="2123">
        <v>0</v>
      </c>
      <c r="E41" s="1872">
        <v>0</v>
      </c>
      <c r="F41" s="2127">
        <v>0</v>
      </c>
      <c r="G41" s="2118">
        <v>0</v>
      </c>
      <c r="H41" s="1873">
        <v>0</v>
      </c>
      <c r="I41" s="1873">
        <v>0</v>
      </c>
      <c r="J41" s="1874">
        <v>0</v>
      </c>
    </row>
    <row r="42" spans="1:10" s="388" customFormat="1" ht="19.5" customHeight="1">
      <c r="A42" s="2823" t="s">
        <v>358</v>
      </c>
      <c r="B42" s="2824" t="s">
        <v>834</v>
      </c>
      <c r="C42" s="2825">
        <f>'14'!E56</f>
        <v>789683</v>
      </c>
      <c r="D42" s="2826">
        <f>'14'!F56</f>
        <v>23789.990058</v>
      </c>
      <c r="E42" s="2827">
        <f>'14'!Q56</f>
        <v>1770276</v>
      </c>
      <c r="F42" s="2828">
        <f>'14'!R56</f>
        <v>53331.334776</v>
      </c>
      <c r="G42" s="2829">
        <f>'14'!S56</f>
        <v>1770276</v>
      </c>
      <c r="H42" s="2830">
        <f>'14'!T56</f>
        <v>53331.334776</v>
      </c>
      <c r="I42" s="2830">
        <f>'14'!U56</f>
        <v>1770276</v>
      </c>
      <c r="J42" s="2831">
        <f>'14'!V56</f>
        <v>53331.334776</v>
      </c>
    </row>
    <row r="43" spans="1:10" s="389" customFormat="1" ht="15" customHeight="1">
      <c r="A43" s="757"/>
      <c r="B43" s="2113" t="s">
        <v>322</v>
      </c>
      <c r="C43" s="2122">
        <f>'14'!E57</f>
        <v>773644</v>
      </c>
      <c r="D43" s="2123">
        <f>'14'!F57</f>
        <v>23306.799144</v>
      </c>
      <c r="E43" s="1872">
        <f>'14'!Q57</f>
        <v>749223</v>
      </c>
      <c r="F43" s="2127">
        <f>'14'!R57</f>
        <v>22571.092098</v>
      </c>
      <c r="G43" s="2118">
        <f>'14'!S57</f>
        <v>749223</v>
      </c>
      <c r="H43" s="1873">
        <f>'14'!T57</f>
        <v>22571.092098</v>
      </c>
      <c r="I43" s="1873">
        <f>'14'!U57</f>
        <v>749223</v>
      </c>
      <c r="J43" s="1874">
        <f>'14'!V57</f>
        <v>22571.092098</v>
      </c>
    </row>
    <row r="44" spans="1:10" s="389" customFormat="1" ht="15" customHeight="1">
      <c r="A44" s="758"/>
      <c r="B44" s="2113" t="s">
        <v>323</v>
      </c>
      <c r="C44" s="2122">
        <f>'14'!E58</f>
        <v>16039</v>
      </c>
      <c r="D44" s="2123">
        <f>'14'!F58</f>
        <v>483.19091399999996</v>
      </c>
      <c r="E44" s="1872">
        <f>'14'!Q58</f>
        <v>1021053</v>
      </c>
      <c r="F44" s="2127">
        <f>'14'!R58</f>
        <v>30760.242678000002</v>
      </c>
      <c r="G44" s="2118">
        <f>'14'!S58</f>
        <v>1021053</v>
      </c>
      <c r="H44" s="1873">
        <f>'14'!T58</f>
        <v>30760.242678000002</v>
      </c>
      <c r="I44" s="1873">
        <f>'14'!U58</f>
        <v>1021053</v>
      </c>
      <c r="J44" s="1874">
        <f>'14'!V58</f>
        <v>30760.242678000002</v>
      </c>
    </row>
    <row r="45" spans="1:10" s="388" customFormat="1" ht="19.5" customHeight="1">
      <c r="A45" s="2823" t="s">
        <v>359</v>
      </c>
      <c r="B45" s="2824" t="s">
        <v>1002</v>
      </c>
      <c r="C45" s="2825">
        <f>'15'!E4</f>
        <v>1743836</v>
      </c>
      <c r="D45" s="2826">
        <f>'15'!F4</f>
        <v>52534.782735999994</v>
      </c>
      <c r="E45" s="2827">
        <f>'15'!Q4</f>
        <v>1943881</v>
      </c>
      <c r="F45" s="2828">
        <f>'15'!R4</f>
        <v>58561.359006</v>
      </c>
      <c r="G45" s="2829">
        <f>'15'!S4</f>
        <v>1943881</v>
      </c>
      <c r="H45" s="2830">
        <f>'15'!T4</f>
        <v>58561.359006</v>
      </c>
      <c r="I45" s="2830">
        <f>'15'!U4</f>
        <v>1943881</v>
      </c>
      <c r="J45" s="2831">
        <f>'15'!V4</f>
        <v>58561.359006</v>
      </c>
    </row>
    <row r="46" spans="1:10" s="389" customFormat="1" ht="15" customHeight="1">
      <c r="A46" s="757"/>
      <c r="B46" s="2113" t="s">
        <v>322</v>
      </c>
      <c r="C46" s="2122">
        <f>'15'!E6+'15'!E62</f>
        <v>1369842</v>
      </c>
      <c r="D46" s="2123">
        <f>'15'!F6+'15'!F62</f>
        <v>41267.839492</v>
      </c>
      <c r="E46" s="1872">
        <f>'15'!Q6+'15'!Q62</f>
        <v>1523281</v>
      </c>
      <c r="F46" s="2127">
        <f>'15'!R6+'15'!R62</f>
        <v>45890.363406</v>
      </c>
      <c r="G46" s="2118">
        <f>'15'!S6+'15'!S62</f>
        <v>1523281</v>
      </c>
      <c r="H46" s="1873">
        <f>'15'!T6+'15'!T62</f>
        <v>45890.363406</v>
      </c>
      <c r="I46" s="1873">
        <f>'15'!U6+'15'!U62</f>
        <v>1523281</v>
      </c>
      <c r="J46" s="1874">
        <f>'15'!V6+'15'!V62</f>
        <v>45890.363406</v>
      </c>
    </row>
    <row r="47" spans="1:10" s="389" customFormat="1" ht="15" customHeight="1">
      <c r="A47" s="758"/>
      <c r="B47" s="2113" t="s">
        <v>323</v>
      </c>
      <c r="C47" s="2122">
        <f>'15'!E50</f>
        <v>373994</v>
      </c>
      <c r="D47" s="2123">
        <f>'15'!F50</f>
        <v>11266.943243999998</v>
      </c>
      <c r="E47" s="1872">
        <f>'15'!Q50</f>
        <v>420600</v>
      </c>
      <c r="F47" s="2127">
        <f>'15'!R50</f>
        <v>12670.995599999998</v>
      </c>
      <c r="G47" s="2118">
        <f>'15'!S50</f>
        <v>420600</v>
      </c>
      <c r="H47" s="1873">
        <f>'15'!T50</f>
        <v>12670.9956</v>
      </c>
      <c r="I47" s="1873">
        <f>'15'!U50</f>
        <v>420600</v>
      </c>
      <c r="J47" s="1874">
        <f>'15'!V50</f>
        <v>12670.9956</v>
      </c>
    </row>
    <row r="48" spans="1:10" s="388" customFormat="1" ht="19.5" customHeight="1">
      <c r="A48" s="2823" t="s">
        <v>360</v>
      </c>
      <c r="B48" s="2824" t="s">
        <v>703</v>
      </c>
      <c r="C48" s="2830">
        <f>'16'!E58</f>
        <v>3480808</v>
      </c>
      <c r="D48" s="2833">
        <f>'16'!F58</f>
        <v>104862.82180800001</v>
      </c>
      <c r="E48" s="2827">
        <f>'16'!Q58</f>
        <v>3338275</v>
      </c>
      <c r="F48" s="2828">
        <f>'16'!R58</f>
        <v>100568.87264999999</v>
      </c>
      <c r="G48" s="2829">
        <f>'16'!S58</f>
        <v>3405580</v>
      </c>
      <c r="H48" s="2830">
        <f>'16'!T58</f>
        <v>102596.50308</v>
      </c>
      <c r="I48" s="2830">
        <f>'16'!U58</f>
        <v>3405580</v>
      </c>
      <c r="J48" s="2831">
        <f>'16'!V58</f>
        <v>102596.50308</v>
      </c>
    </row>
    <row r="49" spans="1:10" s="389" customFormat="1" ht="15" customHeight="1">
      <c r="A49" s="757"/>
      <c r="B49" s="2113" t="s">
        <v>322</v>
      </c>
      <c r="C49" s="2122">
        <f>'16'!E59</f>
        <v>3480808</v>
      </c>
      <c r="D49" s="2123">
        <f>'16'!F59</f>
        <v>104862.82180800001</v>
      </c>
      <c r="E49" s="1872">
        <f>'16'!Q59</f>
        <v>3338275</v>
      </c>
      <c r="F49" s="2127">
        <f>'16'!R59</f>
        <v>100568.87264999999</v>
      </c>
      <c r="G49" s="2118">
        <f>'16'!S59</f>
        <v>3405580</v>
      </c>
      <c r="H49" s="1873">
        <f>'16'!T59</f>
        <v>102596.50308</v>
      </c>
      <c r="I49" s="1873">
        <f>'16'!U59</f>
        <v>3405580</v>
      </c>
      <c r="J49" s="1874">
        <f>'16'!V59</f>
        <v>102596.50308</v>
      </c>
    </row>
    <row r="50" spans="1:10" s="388" customFormat="1" ht="19.5" customHeight="1">
      <c r="A50" s="2832" t="s">
        <v>361</v>
      </c>
      <c r="B50" s="2824" t="s">
        <v>858</v>
      </c>
      <c r="C50" s="2825">
        <f>'17'!E71</f>
        <v>713807</v>
      </c>
      <c r="D50" s="2826">
        <f>'17'!F71</f>
        <v>21504.149682</v>
      </c>
      <c r="E50" s="2827">
        <f>'17'!Q71</f>
        <v>481629</v>
      </c>
      <c r="F50" s="2828">
        <f>'17'!R71</f>
        <v>14509.555253999999</v>
      </c>
      <c r="G50" s="2829">
        <f>'17'!S71</f>
        <v>419907</v>
      </c>
      <c r="H50" s="2830">
        <f>'17'!T71</f>
        <v>12650.118282</v>
      </c>
      <c r="I50" s="2830">
        <f>'17'!U71</f>
        <v>419907</v>
      </c>
      <c r="J50" s="2831">
        <f>'17'!V71</f>
        <v>12650.118282</v>
      </c>
    </row>
    <row r="51" spans="1:10" s="389" customFormat="1" ht="15" customHeight="1">
      <c r="A51" s="757"/>
      <c r="B51" s="2113" t="s">
        <v>322</v>
      </c>
      <c r="C51" s="2122">
        <f>'17'!E72</f>
        <v>369391</v>
      </c>
      <c r="D51" s="2123">
        <f>'17'!F72</f>
        <v>11128.273265999998</v>
      </c>
      <c r="E51" s="1872">
        <f>'17'!Q72</f>
        <v>326985</v>
      </c>
      <c r="F51" s="2127">
        <f>'17'!R72</f>
        <v>9850.750109999999</v>
      </c>
      <c r="G51" s="2118">
        <f>'17'!S72</f>
        <v>335263</v>
      </c>
      <c r="H51" s="1873">
        <f>'17'!T72</f>
        <v>10100.133138000001</v>
      </c>
      <c r="I51" s="1873">
        <f>'17'!U72</f>
        <v>335263</v>
      </c>
      <c r="J51" s="1874">
        <f>'17'!V72</f>
        <v>10100.133138000001</v>
      </c>
    </row>
    <row r="52" spans="1:10" s="389" customFormat="1" ht="15" customHeight="1">
      <c r="A52" s="758"/>
      <c r="B52" s="2113" t="s">
        <v>323</v>
      </c>
      <c r="C52" s="2122">
        <f>'17'!E73</f>
        <v>344416</v>
      </c>
      <c r="D52" s="2123">
        <f>'17'!F73</f>
        <v>10375.876416</v>
      </c>
      <c r="E52" s="1872">
        <f>'17'!Q73</f>
        <v>154644</v>
      </c>
      <c r="F52" s="2127">
        <f>'17'!R73</f>
        <v>4658.805144000001</v>
      </c>
      <c r="G52" s="2118">
        <f>'17'!S73</f>
        <v>84644</v>
      </c>
      <c r="H52" s="1873">
        <f>'17'!T73</f>
        <v>2549.985144</v>
      </c>
      <c r="I52" s="1873">
        <f>'17'!U73</f>
        <v>84644</v>
      </c>
      <c r="J52" s="1874">
        <f>'17'!V73</f>
        <v>2549.985144</v>
      </c>
    </row>
    <row r="53" spans="1:10" s="388" customFormat="1" ht="19.5" customHeight="1">
      <c r="A53" s="2823">
        <v>18</v>
      </c>
      <c r="B53" s="2824" t="s">
        <v>1067</v>
      </c>
      <c r="C53" s="2825">
        <f>'18'!E4</f>
        <v>116179</v>
      </c>
      <c r="D53" s="2826">
        <f>'18'!F4</f>
        <v>3500.008554</v>
      </c>
      <c r="E53" s="2827">
        <f>'18'!Q4</f>
        <v>116179</v>
      </c>
      <c r="F53" s="2828">
        <f>'18'!R4</f>
        <v>3500.008554</v>
      </c>
      <c r="G53" s="2829">
        <f>'18'!S4</f>
        <v>116179</v>
      </c>
      <c r="H53" s="2830">
        <f>'18'!T4</f>
        <v>3500.008554</v>
      </c>
      <c r="I53" s="2830">
        <f>'18'!U4</f>
        <v>116179</v>
      </c>
      <c r="J53" s="2831">
        <f>'18'!V4</f>
        <v>3500.008554</v>
      </c>
    </row>
    <row r="54" spans="1:10" s="389" customFormat="1" ht="15" customHeight="1">
      <c r="A54" s="757"/>
      <c r="B54" s="2113" t="s">
        <v>322</v>
      </c>
      <c r="C54" s="2122">
        <f>'18'!E5</f>
        <v>116179</v>
      </c>
      <c r="D54" s="2123">
        <f>'18'!F5</f>
        <v>3500.008554</v>
      </c>
      <c r="E54" s="1872">
        <f>'18'!Q5</f>
        <v>116179</v>
      </c>
      <c r="F54" s="2127">
        <f>'18'!R5</f>
        <v>3500.008554</v>
      </c>
      <c r="G54" s="2118">
        <f>'18'!S5</f>
        <v>116179</v>
      </c>
      <c r="H54" s="1873">
        <f>'18'!T5</f>
        <v>3500.008554</v>
      </c>
      <c r="I54" s="1873">
        <f>'18'!U5</f>
        <v>116179</v>
      </c>
      <c r="J54" s="1874">
        <f>'18'!V5</f>
        <v>3500.008554</v>
      </c>
    </row>
    <row r="55" spans="1:10" s="388" customFormat="1" ht="19.5" customHeight="1">
      <c r="A55" s="2832" t="s">
        <v>362</v>
      </c>
      <c r="B55" s="2824" t="s">
        <v>1072</v>
      </c>
      <c r="C55" s="2825">
        <f>'19'!E44</f>
        <v>1177865</v>
      </c>
      <c r="D55" s="2826">
        <f>'19'!F44</f>
        <v>35484.36099</v>
      </c>
      <c r="E55" s="2827">
        <f>'19'!Q44</f>
        <v>1183852</v>
      </c>
      <c r="F55" s="2828">
        <f>'19'!R44</f>
        <v>35664.725351999994</v>
      </c>
      <c r="G55" s="2829">
        <f>'19'!S44</f>
        <v>1150359</v>
      </c>
      <c r="H55" s="2830">
        <f>'19'!T44</f>
        <v>34655.715234</v>
      </c>
      <c r="I55" s="2830">
        <f>'19'!U44</f>
        <v>1150359</v>
      </c>
      <c r="J55" s="2831">
        <f>'19'!V44</f>
        <v>34655.715234</v>
      </c>
    </row>
    <row r="56" spans="1:10" s="389" customFormat="1" ht="15" customHeight="1">
      <c r="A56" s="757"/>
      <c r="B56" s="2113" t="s">
        <v>322</v>
      </c>
      <c r="C56" s="2122">
        <f>'19'!E45</f>
        <v>1158949</v>
      </c>
      <c r="D56" s="2123">
        <f>'19'!F45</f>
        <v>34914.497574</v>
      </c>
      <c r="E56" s="1872">
        <f>'19'!Q45</f>
        <v>1163603</v>
      </c>
      <c r="F56" s="2127">
        <f>'19'!R45</f>
        <v>35054.703978</v>
      </c>
      <c r="G56" s="2118">
        <f>'19'!S45</f>
        <v>1130110</v>
      </c>
      <c r="H56" s="1873">
        <f>'19'!T45</f>
        <v>34045.69386</v>
      </c>
      <c r="I56" s="1873">
        <f>'19'!U45</f>
        <v>1130110</v>
      </c>
      <c r="J56" s="1874">
        <f>'19'!V45</f>
        <v>34045.69386</v>
      </c>
    </row>
    <row r="57" spans="1:10" s="389" customFormat="1" ht="15" customHeight="1">
      <c r="A57" s="758"/>
      <c r="B57" s="2113" t="s">
        <v>323</v>
      </c>
      <c r="C57" s="2122">
        <f>'19'!E46</f>
        <v>18916</v>
      </c>
      <c r="D57" s="2123">
        <f>'19'!F46</f>
        <v>569.863416</v>
      </c>
      <c r="E57" s="1872">
        <f>'19'!Q46</f>
        <v>20249</v>
      </c>
      <c r="F57" s="2127">
        <f>'19'!R46</f>
        <v>610.0213739999999</v>
      </c>
      <c r="G57" s="2118">
        <f>'19'!S46</f>
        <v>20249</v>
      </c>
      <c r="H57" s="1873">
        <f>'19'!T46</f>
        <v>610.021374</v>
      </c>
      <c r="I57" s="1873">
        <f>'19'!U46</f>
        <v>20249</v>
      </c>
      <c r="J57" s="1874">
        <f>'19'!V46</f>
        <v>610.021374</v>
      </c>
    </row>
    <row r="58" spans="1:10" s="388" customFormat="1" ht="19.5" customHeight="1">
      <c r="A58" s="2832" t="s">
        <v>363</v>
      </c>
      <c r="B58" s="2824" t="s">
        <v>1090</v>
      </c>
      <c r="C58" s="2825">
        <f>'20'!E59</f>
        <v>1046629</v>
      </c>
      <c r="D58" s="2826">
        <f>'20'!F59</f>
        <v>31530.745254</v>
      </c>
      <c r="E58" s="2827">
        <f>'20'!Q59</f>
        <v>5461160</v>
      </c>
      <c r="F58" s="2828">
        <f>'20'!R59</f>
        <v>164522.90615999998</v>
      </c>
      <c r="G58" s="2829">
        <f>'20'!S59</f>
        <v>3956863</v>
      </c>
      <c r="H58" s="2830">
        <f>'20'!T59</f>
        <v>119204.45473800001</v>
      </c>
      <c r="I58" s="2830">
        <f>'20'!U59</f>
        <v>155570</v>
      </c>
      <c r="J58" s="2831">
        <f>'20'!V59</f>
        <v>4686.701819999999</v>
      </c>
    </row>
    <row r="59" spans="1:10" s="389" customFormat="1" ht="15" customHeight="1">
      <c r="A59" s="757"/>
      <c r="B59" s="2113" t="s">
        <v>322</v>
      </c>
      <c r="C59" s="2122">
        <f>'20'!E60</f>
        <v>108900</v>
      </c>
      <c r="D59" s="2123">
        <f>'20'!F60</f>
        <v>3280.7214</v>
      </c>
      <c r="E59" s="1872">
        <f>'20'!Q60</f>
        <v>144375</v>
      </c>
      <c r="F59" s="2127">
        <f>'20'!R60</f>
        <v>4349.44125</v>
      </c>
      <c r="G59" s="2118">
        <f>'20'!S60</f>
        <v>112503</v>
      </c>
      <c r="H59" s="1873">
        <f>'20'!T60</f>
        <v>3389.265378</v>
      </c>
      <c r="I59" s="1873">
        <f>'20'!U60</f>
        <v>55570</v>
      </c>
      <c r="J59" s="1874">
        <f>'20'!V60</f>
        <v>1674.1018199999999</v>
      </c>
    </row>
    <row r="60" spans="1:10" s="389" customFormat="1" ht="15" customHeight="1">
      <c r="A60" s="758"/>
      <c r="B60" s="2113" t="s">
        <v>323</v>
      </c>
      <c r="C60" s="2122">
        <f>'20'!E61</f>
        <v>937729</v>
      </c>
      <c r="D60" s="2123">
        <f>'20'!F61</f>
        <v>28250.023854000003</v>
      </c>
      <c r="E60" s="1872">
        <f>'20'!Q61</f>
        <v>5316785</v>
      </c>
      <c r="F60" s="2127">
        <f>'20'!R61</f>
        <v>160173.46490999998</v>
      </c>
      <c r="G60" s="2118">
        <f>'20'!S61</f>
        <v>3844360</v>
      </c>
      <c r="H60" s="1873">
        <f>'20'!T61</f>
        <v>115815.18936000002</v>
      </c>
      <c r="I60" s="1873">
        <f>'20'!U61</f>
        <v>100000</v>
      </c>
      <c r="J60" s="1874">
        <f>'20'!V61</f>
        <v>3012.6</v>
      </c>
    </row>
    <row r="61" spans="1:10" s="388" customFormat="1" ht="19.5" customHeight="1">
      <c r="A61" s="2823" t="s">
        <v>364</v>
      </c>
      <c r="B61" s="2824" t="s">
        <v>406</v>
      </c>
      <c r="C61" s="2825">
        <f>'21'!E4</f>
        <v>724791</v>
      </c>
      <c r="D61" s="2826">
        <f>'21'!F4</f>
        <v>21835.053666</v>
      </c>
      <c r="E61" s="2827">
        <f>'21'!Q4</f>
        <v>625695</v>
      </c>
      <c r="F61" s="2828">
        <f>'21'!R4</f>
        <v>18849.687570000002</v>
      </c>
      <c r="G61" s="2829">
        <f>'21'!S4</f>
        <v>598487</v>
      </c>
      <c r="H61" s="2830">
        <f>'21'!T4</f>
        <v>18030.019362</v>
      </c>
      <c r="I61" s="2830">
        <f>'21'!U4</f>
        <v>598487</v>
      </c>
      <c r="J61" s="2831">
        <f>'21'!V4</f>
        <v>18030.019362</v>
      </c>
    </row>
    <row r="62" spans="1:10" s="389" customFormat="1" ht="15" customHeight="1">
      <c r="A62" s="758"/>
      <c r="B62" s="2113" t="s">
        <v>322</v>
      </c>
      <c r="C62" s="2122">
        <f>'21'!E5</f>
        <v>724791</v>
      </c>
      <c r="D62" s="2123">
        <f>'21'!F5</f>
        <v>21835.053666</v>
      </c>
      <c r="E62" s="1872">
        <f>'21'!Q5</f>
        <v>625695</v>
      </c>
      <c r="F62" s="2127">
        <f>'21'!R5</f>
        <v>18849.687570000002</v>
      </c>
      <c r="G62" s="2118">
        <f>'21'!S5</f>
        <v>598487</v>
      </c>
      <c r="H62" s="1873">
        <f>'21'!T5</f>
        <v>18030.019362</v>
      </c>
      <c r="I62" s="1873">
        <f>'21'!U5</f>
        <v>598487</v>
      </c>
      <c r="J62" s="1874">
        <f>'21'!V5</f>
        <v>18030.019362</v>
      </c>
    </row>
    <row r="63" spans="1:10" s="391" customFormat="1" ht="30" customHeight="1">
      <c r="A63" s="759"/>
      <c r="B63" s="2114" t="s">
        <v>762</v>
      </c>
      <c r="C63" s="1875">
        <f>C3+C6+C9+C12+C15+C18+C21+C24+C27+C30+C33+C36+C39+C42+C45+C48+C50+C53+C55+C58+C61</f>
        <v>42878877</v>
      </c>
      <c r="D63" s="2124">
        <f aca="true" t="shared" si="0" ref="D63:J63">D3+D6+D9+D12+D15+D18+D21+D24+D27+D30+D33+D36+D39+D42+D45+D48+D50+D53+D55+D58+D61</f>
        <v>1291768.81884</v>
      </c>
      <c r="E63" s="1498">
        <f t="shared" si="0"/>
        <v>51734605</v>
      </c>
      <c r="F63" s="1499">
        <f t="shared" si="0"/>
        <v>1558555.5124320001</v>
      </c>
      <c r="G63" s="2119">
        <f t="shared" si="0"/>
        <v>46015118</v>
      </c>
      <c r="H63" s="1875">
        <f t="shared" si="0"/>
        <v>1386251.444868</v>
      </c>
      <c r="I63" s="1875">
        <f t="shared" si="0"/>
        <v>37959427</v>
      </c>
      <c r="J63" s="1876">
        <f t="shared" si="0"/>
        <v>1143565.6978020002</v>
      </c>
    </row>
    <row r="64" spans="1:10" s="394" customFormat="1" ht="19.5" customHeight="1">
      <c r="A64" s="760"/>
      <c r="B64" s="2115" t="s">
        <v>322</v>
      </c>
      <c r="C64" s="1877">
        <f>C4+C7+C10+C13+C16+C19+C22+C25+C28+C31+C34+C37+C40+C43+C46+C49+C51+C54+C56+C59+C62</f>
        <v>32456667</v>
      </c>
      <c r="D64" s="2125">
        <f aca="true" t="shared" si="1" ref="D64:J64">D4+D7+D10+D13+D16+D19+D22+D25+D28+D31+D34+D37+D40+D43+D46+D49+D51+D54+D56+D59+D62</f>
        <v>977789.6072540001</v>
      </c>
      <c r="E64" s="1500">
        <f t="shared" si="1"/>
        <v>31593989</v>
      </c>
      <c r="F64" s="1501">
        <f t="shared" si="1"/>
        <v>951799.3386319999</v>
      </c>
      <c r="G64" s="2120">
        <f t="shared" si="1"/>
        <v>31424569</v>
      </c>
      <c r="H64" s="1877">
        <f t="shared" si="1"/>
        <v>946696.5656939999</v>
      </c>
      <c r="I64" s="1877">
        <f t="shared" si="1"/>
        <v>31343496</v>
      </c>
      <c r="J64" s="1878">
        <f t="shared" si="1"/>
        <v>944254.160496</v>
      </c>
    </row>
    <row r="65" spans="1:10" s="394" customFormat="1" ht="19.5" customHeight="1" thickBot="1">
      <c r="A65" s="761"/>
      <c r="B65" s="2116" t="s">
        <v>323</v>
      </c>
      <c r="C65" s="1879">
        <f>C5+C8+C11+C14+C17+C20+C23+C26+C29+C32+C35+C38+C41+C44+C47+C52+C57+C60</f>
        <v>10422210</v>
      </c>
      <c r="D65" s="2126">
        <f aca="true" t="shared" si="2" ref="D65:J65">D5+D8+D11+D14+D17+D20+D23+D26+D29+D32+D35+D38+D41+D44+D47+D52+D57+D60</f>
        <v>313979.211586</v>
      </c>
      <c r="E65" s="1502">
        <f t="shared" si="2"/>
        <v>20140616</v>
      </c>
      <c r="F65" s="1503">
        <f t="shared" si="2"/>
        <v>606756.1738</v>
      </c>
      <c r="G65" s="2121">
        <f t="shared" si="2"/>
        <v>14590549</v>
      </c>
      <c r="H65" s="1879">
        <f t="shared" si="2"/>
        <v>439554.8791740001</v>
      </c>
      <c r="I65" s="1879">
        <f t="shared" si="2"/>
        <v>6615931</v>
      </c>
      <c r="J65" s="1880">
        <f t="shared" si="2"/>
        <v>199311.537306</v>
      </c>
    </row>
    <row r="66" spans="3:9" ht="14.25" customHeight="1">
      <c r="C66" s="393"/>
      <c r="D66" s="393"/>
      <c r="E66" s="393"/>
      <c r="F66" s="393"/>
      <c r="G66" s="393"/>
      <c r="H66" s="393"/>
      <c r="I66" s="393"/>
    </row>
    <row r="67" spans="2:4" ht="12.75" customHeight="1" hidden="1">
      <c r="B67" s="392" t="s">
        <v>1239</v>
      </c>
      <c r="C67" s="395">
        <f>C64+C65</f>
        <v>42878877</v>
      </c>
      <c r="D67" s="395">
        <f>D64+D65</f>
        <v>1291768.81884</v>
      </c>
    </row>
    <row r="68" ht="12.75" customHeight="1" hidden="1"/>
    <row r="69" ht="12.75" customHeight="1" hidden="1"/>
    <row r="70" spans="3:10" ht="13.5" customHeight="1" collapsed="1">
      <c r="C70" s="393"/>
      <c r="D70" s="393"/>
      <c r="E70" s="393"/>
      <c r="F70" s="393"/>
      <c r="G70" s="393"/>
      <c r="H70" s="393"/>
      <c r="I70" s="393"/>
      <c r="J70" s="393"/>
    </row>
    <row r="72" ht="13.5" customHeight="1"/>
  </sheetData>
  <sheetProtection/>
  <mergeCells count="5">
    <mergeCell ref="E1:F1"/>
    <mergeCell ref="G1:H1"/>
    <mergeCell ref="I1:J1"/>
    <mergeCell ref="A1:B2"/>
    <mergeCell ref="C1:D1"/>
  </mergeCells>
  <printOptions horizontalCentered="1"/>
  <pageMargins left="0.28" right="0.7874015748031497" top="1.3" bottom="1.14" header="0" footer="0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V60"/>
  <sheetViews>
    <sheetView showGridLines="0" zoomScalePageLayoutView="0" workbookViewId="0" topLeftCell="A1">
      <pane xSplit="2" ySplit="3" topLeftCell="E54" activePane="bottomRight" state="frozen"/>
      <selection pane="topLeft" activeCell="A39" sqref="A39:IV39"/>
      <selection pane="topRight" activeCell="A39" sqref="A39:IV39"/>
      <selection pane="bottomLeft" activeCell="A39" sqref="A39:IV39"/>
      <selection pane="bottomRight" activeCell="B20" sqref="B20"/>
    </sheetView>
  </sheetViews>
  <sheetFormatPr defaultColWidth="9.140625" defaultRowHeight="12.75"/>
  <cols>
    <col min="1" max="1" width="7.7109375" style="12" customWidth="1"/>
    <col min="2" max="2" width="61.28125" style="3" customWidth="1"/>
    <col min="3" max="4" width="10.7109375" style="291" hidden="1" customWidth="1"/>
    <col min="5" max="6" width="10.7109375" style="6" customWidth="1"/>
    <col min="7" max="13" width="10.7109375" style="6" hidden="1" customWidth="1"/>
    <col min="14" max="14" width="10.7109375" style="3" hidden="1" customWidth="1"/>
    <col min="15" max="16" width="10.7109375" style="6" hidden="1" customWidth="1"/>
    <col min="17" max="22" width="10.7109375" style="6" customWidth="1"/>
    <col min="23" max="16384" width="9.140625" style="3" customWidth="1"/>
  </cols>
  <sheetData>
    <row r="1" spans="1:18" ht="21" customHeight="1" hidden="1" thickBot="1">
      <c r="A1" s="237" t="s">
        <v>1122</v>
      </c>
      <c r="Q1" s="2393"/>
      <c r="R1" s="2394"/>
    </row>
    <row r="2" spans="1:22" s="30" customFormat="1" ht="39.75" customHeight="1">
      <c r="A2" s="2842"/>
      <c r="B2" s="2843"/>
      <c r="C2" s="798" t="s">
        <v>506</v>
      </c>
      <c r="D2" s="1519" t="s">
        <v>507</v>
      </c>
      <c r="E2" s="2890" t="s">
        <v>184</v>
      </c>
      <c r="F2" s="2891"/>
      <c r="G2" s="1173" t="s">
        <v>510</v>
      </c>
      <c r="H2" s="1166" t="s">
        <v>510</v>
      </c>
      <c r="I2" s="1002" t="s">
        <v>87</v>
      </c>
      <c r="J2" s="1002" t="s">
        <v>87</v>
      </c>
      <c r="K2" s="2870" t="s">
        <v>509</v>
      </c>
      <c r="L2" s="2870"/>
      <c r="M2" s="2870" t="s">
        <v>508</v>
      </c>
      <c r="N2" s="2870"/>
      <c r="O2" s="1003" t="s">
        <v>952</v>
      </c>
      <c r="P2" s="1546" t="s">
        <v>952</v>
      </c>
      <c r="Q2" s="2950" t="s">
        <v>183</v>
      </c>
      <c r="R2" s="2951"/>
      <c r="S2" s="2892" t="s">
        <v>725</v>
      </c>
      <c r="T2" s="2875"/>
      <c r="U2" s="2875" t="s">
        <v>726</v>
      </c>
      <c r="V2" s="2878"/>
    </row>
    <row r="3" spans="1:22" s="24" customFormat="1" ht="15" customHeight="1" thickBot="1">
      <c r="A3" s="2930"/>
      <c r="B3" s="2996"/>
      <c r="C3" s="777" t="s">
        <v>966</v>
      </c>
      <c r="D3" s="453" t="s">
        <v>966</v>
      </c>
      <c r="E3" s="768" t="s">
        <v>435</v>
      </c>
      <c r="F3" s="307" t="s">
        <v>966</v>
      </c>
      <c r="G3" s="571" t="s">
        <v>435</v>
      </c>
      <c r="H3" s="240" t="s">
        <v>966</v>
      </c>
      <c r="I3" s="1005" t="s">
        <v>435</v>
      </c>
      <c r="J3" s="1005" t="s">
        <v>966</v>
      </c>
      <c r="K3" s="241" t="s">
        <v>435</v>
      </c>
      <c r="L3" s="241" t="s">
        <v>966</v>
      </c>
      <c r="M3" s="241" t="s">
        <v>435</v>
      </c>
      <c r="N3" s="241" t="s">
        <v>966</v>
      </c>
      <c r="O3" s="1006" t="s">
        <v>435</v>
      </c>
      <c r="P3" s="1547" t="s">
        <v>966</v>
      </c>
      <c r="Q3" s="2250" t="s">
        <v>435</v>
      </c>
      <c r="R3" s="975" t="s">
        <v>966</v>
      </c>
      <c r="S3" s="797" t="s">
        <v>435</v>
      </c>
      <c r="T3" s="241" t="s">
        <v>966</v>
      </c>
      <c r="U3" s="241" t="s">
        <v>435</v>
      </c>
      <c r="V3" s="796" t="s">
        <v>966</v>
      </c>
    </row>
    <row r="4" spans="1:22" s="30" customFormat="1" ht="19.5" customHeight="1">
      <c r="A4" s="110" t="s">
        <v>360</v>
      </c>
      <c r="B4" s="785" t="s">
        <v>703</v>
      </c>
      <c r="C4" s="778">
        <f aca="true" t="shared" si="0" ref="C4:V4">C5</f>
        <v>87701</v>
      </c>
      <c r="D4" s="454">
        <f t="shared" si="0"/>
        <v>97818</v>
      </c>
      <c r="E4" s="850">
        <f t="shared" si="0"/>
        <v>3477489</v>
      </c>
      <c r="F4" s="665">
        <f t="shared" si="0"/>
        <v>104762.833614</v>
      </c>
      <c r="G4" s="530">
        <f t="shared" si="0"/>
        <v>3589410</v>
      </c>
      <c r="H4" s="242">
        <f t="shared" si="0"/>
        <v>108134.56566000004</v>
      </c>
      <c r="I4" s="243">
        <f t="shared" si="0"/>
        <v>3589410</v>
      </c>
      <c r="J4" s="243">
        <f t="shared" si="0"/>
        <v>108134.56566000004</v>
      </c>
      <c r="K4" s="243">
        <f t="shared" si="0"/>
        <v>0</v>
      </c>
      <c r="L4" s="243">
        <f t="shared" si="0"/>
        <v>0</v>
      </c>
      <c r="M4" s="243">
        <f t="shared" si="0"/>
        <v>0</v>
      </c>
      <c r="N4" s="243">
        <f t="shared" si="0"/>
        <v>0</v>
      </c>
      <c r="O4" s="243">
        <f t="shared" si="0"/>
        <v>3555950</v>
      </c>
      <c r="P4" s="1548">
        <f t="shared" si="0"/>
        <v>107126.54970000002</v>
      </c>
      <c r="Q4" s="2395">
        <f t="shared" si="0"/>
        <v>3338275</v>
      </c>
      <c r="R4" s="971">
        <f t="shared" si="0"/>
        <v>100568.87264999999</v>
      </c>
      <c r="S4" s="2380">
        <f t="shared" si="0"/>
        <v>3405580</v>
      </c>
      <c r="T4" s="243">
        <f t="shared" si="0"/>
        <v>102596.50308</v>
      </c>
      <c r="U4" s="243">
        <f t="shared" si="0"/>
        <v>3405580</v>
      </c>
      <c r="V4" s="285">
        <f t="shared" si="0"/>
        <v>102596.50308</v>
      </c>
    </row>
    <row r="5" spans="1:22" s="30" customFormat="1" ht="19.5" customHeight="1">
      <c r="A5" s="112" t="s">
        <v>704</v>
      </c>
      <c r="B5" s="787" t="s">
        <v>965</v>
      </c>
      <c r="C5" s="780">
        <f>C6+C24+C52+C42</f>
        <v>87701</v>
      </c>
      <c r="D5" s="456">
        <f>D6+D24+D52+D42</f>
        <v>97818</v>
      </c>
      <c r="E5" s="770">
        <f>E6+E24+E42</f>
        <v>3477489</v>
      </c>
      <c r="F5" s="480">
        <f>F6+F24+F42</f>
        <v>104762.833614</v>
      </c>
      <c r="G5" s="464">
        <f aca="true" t="shared" si="1" ref="G5:R5">G6+G24+G52+G42</f>
        <v>3589410</v>
      </c>
      <c r="H5" s="245">
        <f t="shared" si="1"/>
        <v>108134.56566000004</v>
      </c>
      <c r="I5" s="246">
        <f t="shared" si="1"/>
        <v>3589410</v>
      </c>
      <c r="J5" s="246">
        <f t="shared" si="1"/>
        <v>108134.56566000004</v>
      </c>
      <c r="K5" s="246">
        <f t="shared" si="1"/>
        <v>0</v>
      </c>
      <c r="L5" s="246">
        <f t="shared" si="1"/>
        <v>0</v>
      </c>
      <c r="M5" s="246">
        <f t="shared" si="1"/>
        <v>0</v>
      </c>
      <c r="N5" s="246">
        <f t="shared" si="1"/>
        <v>0</v>
      </c>
      <c r="O5" s="246">
        <f t="shared" si="1"/>
        <v>3555950</v>
      </c>
      <c r="P5" s="1550">
        <f t="shared" si="1"/>
        <v>107126.54970000002</v>
      </c>
      <c r="Q5" s="2400">
        <f t="shared" si="1"/>
        <v>3338275</v>
      </c>
      <c r="R5" s="972">
        <f t="shared" si="1"/>
        <v>100568.87264999999</v>
      </c>
      <c r="S5" s="2383">
        <v>3405580</v>
      </c>
      <c r="T5" s="246">
        <f>S5*30.126/1000</f>
        <v>102596.50308</v>
      </c>
      <c r="U5" s="246">
        <v>3405580</v>
      </c>
      <c r="V5" s="255">
        <f>U5*30.126/1000</f>
        <v>102596.50308</v>
      </c>
    </row>
    <row r="6" spans="1:22" s="6" customFormat="1" ht="15" customHeight="1">
      <c r="A6" s="132" t="s">
        <v>705</v>
      </c>
      <c r="B6" s="866" t="s">
        <v>710</v>
      </c>
      <c r="C6" s="929">
        <f aca="true" t="shared" si="2" ref="C6:J6">SUM(C7:C23)</f>
        <v>11977</v>
      </c>
      <c r="D6" s="2421">
        <f t="shared" si="2"/>
        <v>14318</v>
      </c>
      <c r="E6" s="2429">
        <f t="shared" si="2"/>
        <v>458336</v>
      </c>
      <c r="F6" s="694">
        <f t="shared" si="2"/>
        <v>13807.830335999999</v>
      </c>
      <c r="G6" s="597">
        <f t="shared" si="2"/>
        <v>486511</v>
      </c>
      <c r="H6" s="582">
        <f t="shared" si="2"/>
        <v>14656.630385999999</v>
      </c>
      <c r="I6" s="279">
        <f t="shared" si="2"/>
        <v>486511</v>
      </c>
      <c r="J6" s="279">
        <f t="shared" si="2"/>
        <v>14656.630385999999</v>
      </c>
      <c r="K6" s="279">
        <f aca="true" t="shared" si="3" ref="K6:P6">SUM(K7:K23)</f>
        <v>0</v>
      </c>
      <c r="L6" s="279">
        <f t="shared" si="3"/>
        <v>0</v>
      </c>
      <c r="M6" s="279">
        <f t="shared" si="3"/>
        <v>0</v>
      </c>
      <c r="N6" s="279">
        <f t="shared" si="3"/>
        <v>0</v>
      </c>
      <c r="O6" s="279">
        <f t="shared" si="3"/>
        <v>477787</v>
      </c>
      <c r="P6" s="1609">
        <f t="shared" si="3"/>
        <v>14393.811161999998</v>
      </c>
      <c r="Q6" s="2467">
        <f>SUM(Q7:Q23)</f>
        <v>459924</v>
      </c>
      <c r="R6" s="977">
        <f>SUM(R7:R23)</f>
        <v>13855.670423999998</v>
      </c>
      <c r="S6" s="2447"/>
      <c r="T6" s="279"/>
      <c r="U6" s="279"/>
      <c r="V6" s="316"/>
    </row>
    <row r="7" spans="1:22" s="6" customFormat="1" ht="15" customHeight="1">
      <c r="A7" s="123"/>
      <c r="B7" s="789" t="s">
        <v>711</v>
      </c>
      <c r="C7" s="883">
        <v>4385</v>
      </c>
      <c r="D7" s="2946">
        <v>7568</v>
      </c>
      <c r="E7" s="772">
        <f>161122-9792</f>
        <v>151330</v>
      </c>
      <c r="F7" s="139">
        <f>(E7*30.126)/1000</f>
        <v>4558.96758</v>
      </c>
      <c r="G7" s="446">
        <v>167081</v>
      </c>
      <c r="H7" s="354">
        <f>G7*30.126/1000</f>
        <v>5033.482206000001</v>
      </c>
      <c r="I7" s="249">
        <v>167081</v>
      </c>
      <c r="J7" s="249">
        <f aca="true" t="shared" si="4" ref="J7:J23">I7*30.126/1000</f>
        <v>5033.482206000001</v>
      </c>
      <c r="K7" s="249"/>
      <c r="L7" s="249"/>
      <c r="M7" s="249"/>
      <c r="N7" s="249"/>
      <c r="O7" s="249">
        <v>167081</v>
      </c>
      <c r="P7" s="1553">
        <f aca="true" t="shared" si="5" ref="P7:R21">O7*30.126/1000</f>
        <v>5033.482206000001</v>
      </c>
      <c r="Q7" s="2302">
        <v>156483</v>
      </c>
      <c r="R7" s="2303">
        <f t="shared" si="5"/>
        <v>4714.206858</v>
      </c>
      <c r="S7" s="2291"/>
      <c r="T7" s="249"/>
      <c r="U7" s="249"/>
      <c r="V7" s="304"/>
    </row>
    <row r="8" spans="1:22" s="6" customFormat="1" ht="15" customHeight="1">
      <c r="A8" s="115"/>
      <c r="B8" s="789" t="s">
        <v>522</v>
      </c>
      <c r="C8" s="883"/>
      <c r="D8" s="2991"/>
      <c r="E8" s="772">
        <v>2091</v>
      </c>
      <c r="F8" s="139">
        <f>(E8*30.126)/1000</f>
        <v>62.993466</v>
      </c>
      <c r="G8" s="446"/>
      <c r="H8" s="354"/>
      <c r="I8" s="249"/>
      <c r="J8" s="249"/>
      <c r="K8" s="249"/>
      <c r="L8" s="249"/>
      <c r="M8" s="249"/>
      <c r="N8" s="249"/>
      <c r="O8" s="249"/>
      <c r="P8" s="1553"/>
      <c r="Q8" s="2302">
        <v>929</v>
      </c>
      <c r="R8" s="2303">
        <f t="shared" si="5"/>
        <v>27.987054</v>
      </c>
      <c r="S8" s="2291"/>
      <c r="T8" s="249"/>
      <c r="U8" s="249"/>
      <c r="V8" s="304"/>
    </row>
    <row r="9" spans="1:22" s="6" customFormat="1" ht="15" customHeight="1">
      <c r="A9" s="115"/>
      <c r="B9" s="789" t="s">
        <v>712</v>
      </c>
      <c r="C9" s="883">
        <v>2274</v>
      </c>
      <c r="D9" s="2947"/>
      <c r="E9" s="772">
        <f>94699-9626</f>
        <v>85073</v>
      </c>
      <c r="F9" s="139">
        <f aca="true" t="shared" si="6" ref="F9:F23">(E9*30.126)/1000</f>
        <v>2562.9091980000003</v>
      </c>
      <c r="G9" s="446">
        <v>88431</v>
      </c>
      <c r="H9" s="354">
        <f aca="true" t="shared" si="7" ref="H9:H23">G9*30.126/1000</f>
        <v>2664.0723060000005</v>
      </c>
      <c r="I9" s="249">
        <v>88431</v>
      </c>
      <c r="J9" s="249">
        <f t="shared" si="4"/>
        <v>2664.0723060000005</v>
      </c>
      <c r="K9" s="249"/>
      <c r="L9" s="249"/>
      <c r="M9" s="249"/>
      <c r="N9" s="249"/>
      <c r="O9" s="249">
        <v>88431</v>
      </c>
      <c r="P9" s="1553">
        <f t="shared" si="5"/>
        <v>2664.0723060000005</v>
      </c>
      <c r="Q9" s="2302">
        <v>81669</v>
      </c>
      <c r="R9" s="2303">
        <f t="shared" si="5"/>
        <v>2460.360294</v>
      </c>
      <c r="S9" s="2291"/>
      <c r="T9" s="249"/>
      <c r="U9" s="249"/>
      <c r="V9" s="304"/>
    </row>
    <row r="10" spans="1:22" s="6" customFormat="1" ht="15" customHeight="1">
      <c r="A10" s="115"/>
      <c r="B10" s="789" t="s">
        <v>523</v>
      </c>
      <c r="C10" s="883"/>
      <c r="D10" s="2422"/>
      <c r="E10" s="772">
        <v>1892</v>
      </c>
      <c r="F10" s="139">
        <f t="shared" si="6"/>
        <v>56.998392</v>
      </c>
      <c r="G10" s="446"/>
      <c r="H10" s="354"/>
      <c r="I10" s="249"/>
      <c r="J10" s="249"/>
      <c r="K10" s="249"/>
      <c r="L10" s="249"/>
      <c r="M10" s="249"/>
      <c r="N10" s="249"/>
      <c r="O10" s="249"/>
      <c r="P10" s="1553"/>
      <c r="Q10" s="2302">
        <v>863</v>
      </c>
      <c r="R10" s="2303">
        <f t="shared" si="5"/>
        <v>25.998738</v>
      </c>
      <c r="S10" s="2291"/>
      <c r="T10" s="249"/>
      <c r="U10" s="249"/>
      <c r="V10" s="304"/>
    </row>
    <row r="11" spans="1:22" s="6" customFormat="1" ht="15" customHeight="1">
      <c r="A11" s="115"/>
      <c r="B11" s="789" t="s">
        <v>713</v>
      </c>
      <c r="C11" s="883">
        <v>1565</v>
      </c>
      <c r="D11" s="2305">
        <v>2480</v>
      </c>
      <c r="E11" s="2414">
        <f>75616-1760</f>
        <v>73856</v>
      </c>
      <c r="F11" s="139">
        <f t="shared" si="6"/>
        <v>2224.9858560000002</v>
      </c>
      <c r="G11" s="732">
        <v>73057</v>
      </c>
      <c r="H11" s="354">
        <f t="shared" si="7"/>
        <v>2200.915182</v>
      </c>
      <c r="I11" s="704">
        <v>73057</v>
      </c>
      <c r="J11" s="249">
        <f t="shared" si="4"/>
        <v>2200.915182</v>
      </c>
      <c r="K11" s="704"/>
      <c r="L11" s="704"/>
      <c r="M11" s="704"/>
      <c r="N11" s="249"/>
      <c r="O11" s="704">
        <v>73057</v>
      </c>
      <c r="P11" s="1553">
        <f t="shared" si="5"/>
        <v>2200.915182</v>
      </c>
      <c r="Q11" s="2468">
        <v>70995</v>
      </c>
      <c r="R11" s="2303">
        <f t="shared" si="5"/>
        <v>2138.7953700000003</v>
      </c>
      <c r="S11" s="2448"/>
      <c r="T11" s="249"/>
      <c r="U11" s="704"/>
      <c r="V11" s="304"/>
    </row>
    <row r="12" spans="1:22" s="6" customFormat="1" ht="15" customHeight="1">
      <c r="A12" s="115"/>
      <c r="B12" s="789" t="s">
        <v>714</v>
      </c>
      <c r="C12" s="883">
        <v>2890</v>
      </c>
      <c r="D12" s="2305">
        <v>3617</v>
      </c>
      <c r="E12" s="2414">
        <v>117175</v>
      </c>
      <c r="F12" s="139">
        <f t="shared" si="6"/>
        <v>3530.01405</v>
      </c>
      <c r="G12" s="732">
        <v>121474</v>
      </c>
      <c r="H12" s="354">
        <f t="shared" si="7"/>
        <v>3659.525724</v>
      </c>
      <c r="I12" s="704">
        <v>121474</v>
      </c>
      <c r="J12" s="249">
        <f t="shared" si="4"/>
        <v>3659.525724</v>
      </c>
      <c r="K12" s="704"/>
      <c r="L12" s="704"/>
      <c r="M12" s="704"/>
      <c r="N12" s="249"/>
      <c r="O12" s="704">
        <v>121474</v>
      </c>
      <c r="P12" s="1553">
        <f t="shared" si="5"/>
        <v>3659.525724</v>
      </c>
      <c r="Q12" s="2468">
        <v>121474</v>
      </c>
      <c r="R12" s="2303">
        <f t="shared" si="5"/>
        <v>3659.525724</v>
      </c>
      <c r="S12" s="2448"/>
      <c r="T12" s="249"/>
      <c r="U12" s="704"/>
      <c r="V12" s="304"/>
    </row>
    <row r="13" spans="1:22" s="6" customFormat="1" ht="15" customHeight="1">
      <c r="A13" s="115"/>
      <c r="B13" s="789" t="s">
        <v>1215</v>
      </c>
      <c r="C13" s="883"/>
      <c r="D13" s="2305"/>
      <c r="E13" s="2414"/>
      <c r="F13" s="139"/>
      <c r="G13" s="732">
        <v>200</v>
      </c>
      <c r="H13" s="354">
        <f t="shared" si="7"/>
        <v>6.0252</v>
      </c>
      <c r="I13" s="704">
        <v>200</v>
      </c>
      <c r="J13" s="249">
        <f t="shared" si="4"/>
        <v>6.0252</v>
      </c>
      <c r="K13" s="704"/>
      <c r="L13" s="704"/>
      <c r="M13" s="704"/>
      <c r="N13" s="249"/>
      <c r="O13" s="704">
        <v>200</v>
      </c>
      <c r="P13" s="1553">
        <f t="shared" si="5"/>
        <v>6.0252</v>
      </c>
      <c r="Q13" s="2468">
        <v>200</v>
      </c>
      <c r="R13" s="2303">
        <f t="shared" si="5"/>
        <v>6.0252</v>
      </c>
      <c r="S13" s="2448"/>
      <c r="T13" s="249"/>
      <c r="U13" s="704"/>
      <c r="V13" s="304"/>
    </row>
    <row r="14" spans="1:22" s="6" customFormat="1" ht="15" customHeight="1">
      <c r="A14" s="115"/>
      <c r="B14" s="789" t="s">
        <v>715</v>
      </c>
      <c r="C14" s="883">
        <v>250</v>
      </c>
      <c r="D14" s="2305">
        <v>5</v>
      </c>
      <c r="E14" s="772">
        <v>4979</v>
      </c>
      <c r="F14" s="139">
        <f t="shared" si="6"/>
        <v>149.997354</v>
      </c>
      <c r="G14" s="446">
        <v>4979</v>
      </c>
      <c r="H14" s="354">
        <f t="shared" si="7"/>
        <v>149.997354</v>
      </c>
      <c r="I14" s="249">
        <v>4979</v>
      </c>
      <c r="J14" s="249">
        <f t="shared" si="4"/>
        <v>149.997354</v>
      </c>
      <c r="K14" s="249"/>
      <c r="L14" s="249"/>
      <c r="M14" s="249"/>
      <c r="N14" s="249"/>
      <c r="O14" s="249">
        <v>4979</v>
      </c>
      <c r="P14" s="1553">
        <f t="shared" si="5"/>
        <v>149.997354</v>
      </c>
      <c r="Q14" s="2302">
        <v>4979</v>
      </c>
      <c r="R14" s="2303">
        <f t="shared" si="5"/>
        <v>149.997354</v>
      </c>
      <c r="S14" s="2291"/>
      <c r="T14" s="249"/>
      <c r="U14" s="249"/>
      <c r="V14" s="304"/>
    </row>
    <row r="15" spans="1:22" s="6" customFormat="1" ht="15" customHeight="1">
      <c r="A15" s="115"/>
      <c r="B15" s="789" t="s">
        <v>716</v>
      </c>
      <c r="C15" s="883">
        <v>30</v>
      </c>
      <c r="D15" s="2305">
        <v>25</v>
      </c>
      <c r="E15" s="772">
        <v>996</v>
      </c>
      <c r="F15" s="139">
        <f t="shared" si="6"/>
        <v>30.005496000000004</v>
      </c>
      <c r="G15" s="446">
        <v>996</v>
      </c>
      <c r="H15" s="354">
        <f t="shared" si="7"/>
        <v>30.005496000000004</v>
      </c>
      <c r="I15" s="249">
        <v>996</v>
      </c>
      <c r="J15" s="249">
        <f t="shared" si="4"/>
        <v>30.005496000000004</v>
      </c>
      <c r="K15" s="249"/>
      <c r="L15" s="249"/>
      <c r="M15" s="249"/>
      <c r="N15" s="249"/>
      <c r="O15" s="249">
        <v>996</v>
      </c>
      <c r="P15" s="1553">
        <f t="shared" si="5"/>
        <v>30.005496000000004</v>
      </c>
      <c r="Q15" s="2302">
        <v>996</v>
      </c>
      <c r="R15" s="2303">
        <f t="shared" si="5"/>
        <v>30.005496000000004</v>
      </c>
      <c r="S15" s="2291"/>
      <c r="T15" s="249"/>
      <c r="U15" s="249"/>
      <c r="V15" s="304"/>
    </row>
    <row r="16" spans="1:22" s="6" customFormat="1" ht="15" customHeight="1">
      <c r="A16" s="115"/>
      <c r="B16" s="789" t="s">
        <v>717</v>
      </c>
      <c r="C16" s="883">
        <v>45</v>
      </c>
      <c r="D16" s="2305">
        <v>16</v>
      </c>
      <c r="E16" s="2430">
        <v>1660</v>
      </c>
      <c r="F16" s="139">
        <f t="shared" si="6"/>
        <v>50.00916</v>
      </c>
      <c r="G16" s="2425">
        <v>1660</v>
      </c>
      <c r="H16" s="354">
        <f t="shared" si="7"/>
        <v>50.00916</v>
      </c>
      <c r="I16" s="705">
        <v>1660</v>
      </c>
      <c r="J16" s="249">
        <f t="shared" si="4"/>
        <v>50.00916</v>
      </c>
      <c r="K16" s="705"/>
      <c r="L16" s="705"/>
      <c r="M16" s="705"/>
      <c r="N16" s="249"/>
      <c r="O16" s="705">
        <v>1660</v>
      </c>
      <c r="P16" s="1553">
        <f t="shared" si="5"/>
        <v>50.00916</v>
      </c>
      <c r="Q16" s="2469">
        <v>1660</v>
      </c>
      <c r="R16" s="2303">
        <f t="shared" si="5"/>
        <v>50.00916</v>
      </c>
      <c r="S16" s="2449"/>
      <c r="T16" s="249"/>
      <c r="U16" s="705"/>
      <c r="V16" s="304"/>
    </row>
    <row r="17" spans="1:22" s="6" customFormat="1" ht="15" customHeight="1">
      <c r="A17" s="115"/>
      <c r="B17" s="789" t="s">
        <v>718</v>
      </c>
      <c r="C17" s="883">
        <v>126</v>
      </c>
      <c r="D17" s="2305">
        <v>185</v>
      </c>
      <c r="E17" s="2371">
        <v>4979</v>
      </c>
      <c r="F17" s="139">
        <f t="shared" si="6"/>
        <v>149.997354</v>
      </c>
      <c r="G17" s="563">
        <v>4979</v>
      </c>
      <c r="H17" s="354">
        <f t="shared" si="7"/>
        <v>149.997354</v>
      </c>
      <c r="I17" s="257">
        <v>4979</v>
      </c>
      <c r="J17" s="249">
        <f t="shared" si="4"/>
        <v>149.997354</v>
      </c>
      <c r="K17" s="257"/>
      <c r="L17" s="257"/>
      <c r="M17" s="257"/>
      <c r="N17" s="249"/>
      <c r="O17" s="257">
        <v>4979</v>
      </c>
      <c r="P17" s="1553">
        <f t="shared" si="5"/>
        <v>149.997354</v>
      </c>
      <c r="Q17" s="2259">
        <v>4979</v>
      </c>
      <c r="R17" s="2303">
        <f t="shared" si="5"/>
        <v>149.997354</v>
      </c>
      <c r="S17" s="2246"/>
      <c r="T17" s="249"/>
      <c r="U17" s="257"/>
      <c r="V17" s="304"/>
    </row>
    <row r="18" spans="1:22" s="6" customFormat="1" ht="15" customHeight="1">
      <c r="A18" s="115"/>
      <c r="B18" s="789" t="s">
        <v>719</v>
      </c>
      <c r="C18" s="883">
        <v>100</v>
      </c>
      <c r="D18" s="2305">
        <v>100</v>
      </c>
      <c r="E18" s="2371">
        <v>2324</v>
      </c>
      <c r="F18" s="139">
        <f t="shared" si="6"/>
        <v>70.01282400000001</v>
      </c>
      <c r="G18" s="563">
        <v>2324</v>
      </c>
      <c r="H18" s="354">
        <f t="shared" si="7"/>
        <v>70.01282400000001</v>
      </c>
      <c r="I18" s="257">
        <v>2324</v>
      </c>
      <c r="J18" s="249">
        <f t="shared" si="4"/>
        <v>70.01282400000001</v>
      </c>
      <c r="K18" s="257"/>
      <c r="L18" s="257"/>
      <c r="M18" s="257"/>
      <c r="N18" s="249"/>
      <c r="O18" s="257">
        <v>2324</v>
      </c>
      <c r="P18" s="1553">
        <f t="shared" si="5"/>
        <v>70.01282400000001</v>
      </c>
      <c r="Q18" s="2259">
        <v>2324</v>
      </c>
      <c r="R18" s="2303">
        <f t="shared" si="5"/>
        <v>70.01282400000001</v>
      </c>
      <c r="S18" s="2246"/>
      <c r="T18" s="249"/>
      <c r="U18" s="257"/>
      <c r="V18" s="304"/>
    </row>
    <row r="19" spans="1:22" s="6" customFormat="1" ht="15" customHeight="1">
      <c r="A19" s="115"/>
      <c r="B19" s="789" t="s">
        <v>720</v>
      </c>
      <c r="C19" s="883">
        <v>104</v>
      </c>
      <c r="D19" s="2305">
        <v>84</v>
      </c>
      <c r="E19" s="2371">
        <f>4016-200</f>
        <v>3816</v>
      </c>
      <c r="F19" s="139">
        <f t="shared" si="6"/>
        <v>114.96081600000001</v>
      </c>
      <c r="G19" s="563">
        <v>3833</v>
      </c>
      <c r="H19" s="354">
        <f t="shared" si="7"/>
        <v>115.472958</v>
      </c>
      <c r="I19" s="257">
        <v>3833</v>
      </c>
      <c r="J19" s="249">
        <f t="shared" si="4"/>
        <v>115.472958</v>
      </c>
      <c r="K19" s="257"/>
      <c r="L19" s="257"/>
      <c r="M19" s="257"/>
      <c r="N19" s="249"/>
      <c r="O19" s="257">
        <v>3833</v>
      </c>
      <c r="P19" s="1553">
        <f t="shared" si="5"/>
        <v>115.472958</v>
      </c>
      <c r="Q19" s="2259">
        <v>3600</v>
      </c>
      <c r="R19" s="2303">
        <f t="shared" si="5"/>
        <v>108.45360000000001</v>
      </c>
      <c r="S19" s="2246"/>
      <c r="T19" s="249"/>
      <c r="U19" s="257"/>
      <c r="V19" s="304"/>
    </row>
    <row r="20" spans="1:22" s="6" customFormat="1" ht="15" customHeight="1">
      <c r="A20" s="115"/>
      <c r="B20" s="789" t="s">
        <v>721</v>
      </c>
      <c r="C20" s="883">
        <v>88</v>
      </c>
      <c r="D20" s="2305">
        <v>121</v>
      </c>
      <c r="E20" s="2371">
        <v>3651</v>
      </c>
      <c r="F20" s="139">
        <f t="shared" si="6"/>
        <v>109.990026</v>
      </c>
      <c r="G20" s="563">
        <v>3983</v>
      </c>
      <c r="H20" s="354">
        <f t="shared" si="7"/>
        <v>119.99185800000001</v>
      </c>
      <c r="I20" s="257">
        <v>3983</v>
      </c>
      <c r="J20" s="249">
        <f t="shared" si="4"/>
        <v>119.99185800000001</v>
      </c>
      <c r="K20" s="257"/>
      <c r="L20" s="257"/>
      <c r="M20" s="257"/>
      <c r="N20" s="249"/>
      <c r="O20" s="257">
        <v>3983</v>
      </c>
      <c r="P20" s="1553">
        <f t="shared" si="5"/>
        <v>119.99185800000001</v>
      </c>
      <c r="Q20" s="2259">
        <v>3983</v>
      </c>
      <c r="R20" s="2303">
        <f t="shared" si="5"/>
        <v>119.99185800000001</v>
      </c>
      <c r="S20" s="2246"/>
      <c r="T20" s="249"/>
      <c r="U20" s="257"/>
      <c r="V20" s="304"/>
    </row>
    <row r="21" spans="1:22" s="6" customFormat="1" ht="15" customHeight="1">
      <c r="A21" s="116"/>
      <c r="B21" s="789" t="s">
        <v>722</v>
      </c>
      <c r="C21" s="883">
        <v>120</v>
      </c>
      <c r="D21" s="2305">
        <v>117</v>
      </c>
      <c r="E21" s="2371">
        <v>4315</v>
      </c>
      <c r="F21" s="139">
        <f t="shared" si="6"/>
        <v>129.99369000000002</v>
      </c>
      <c r="G21" s="563">
        <v>4315</v>
      </c>
      <c r="H21" s="354">
        <f t="shared" si="7"/>
        <v>129.99369000000002</v>
      </c>
      <c r="I21" s="257">
        <v>4315</v>
      </c>
      <c r="J21" s="249">
        <f t="shared" si="4"/>
        <v>129.99369000000002</v>
      </c>
      <c r="K21" s="257"/>
      <c r="L21" s="257"/>
      <c r="M21" s="257"/>
      <c r="N21" s="249"/>
      <c r="O21" s="257">
        <v>4315</v>
      </c>
      <c r="P21" s="1553">
        <f t="shared" si="5"/>
        <v>129.99369000000002</v>
      </c>
      <c r="Q21" s="2259">
        <v>4315</v>
      </c>
      <c r="R21" s="2303">
        <f t="shared" si="5"/>
        <v>129.99369000000002</v>
      </c>
      <c r="S21" s="2246"/>
      <c r="T21" s="249"/>
      <c r="U21" s="257"/>
      <c r="V21" s="304"/>
    </row>
    <row r="22" spans="1:22" s="6" customFormat="1" ht="15" customHeight="1" hidden="1">
      <c r="A22" s="116"/>
      <c r="B22" s="789" t="s">
        <v>732</v>
      </c>
      <c r="C22" s="883"/>
      <c r="D22" s="2305"/>
      <c r="E22" s="2371"/>
      <c r="F22" s="139"/>
      <c r="G22" s="563">
        <v>8724</v>
      </c>
      <c r="H22" s="354">
        <f t="shared" si="7"/>
        <v>262.81922399999996</v>
      </c>
      <c r="I22" s="257">
        <v>8724</v>
      </c>
      <c r="J22" s="249">
        <f t="shared" si="4"/>
        <v>262.81922399999996</v>
      </c>
      <c r="K22" s="257"/>
      <c r="L22" s="257"/>
      <c r="M22" s="257"/>
      <c r="N22" s="249"/>
      <c r="O22" s="257"/>
      <c r="P22" s="1553"/>
      <c r="Q22" s="2259"/>
      <c r="R22" s="2303"/>
      <c r="S22" s="2246"/>
      <c r="T22" s="249"/>
      <c r="U22" s="257"/>
      <c r="V22" s="304"/>
    </row>
    <row r="23" spans="1:22" s="6" customFormat="1" ht="15" customHeight="1">
      <c r="A23" s="152"/>
      <c r="B23" s="789" t="s">
        <v>723</v>
      </c>
      <c r="C23" s="883"/>
      <c r="D23" s="2305"/>
      <c r="E23" s="772">
        <v>199</v>
      </c>
      <c r="F23" s="139">
        <f t="shared" si="6"/>
        <v>5.995074000000001</v>
      </c>
      <c r="G23" s="446">
        <v>475</v>
      </c>
      <c r="H23" s="354">
        <f t="shared" si="7"/>
        <v>14.30985</v>
      </c>
      <c r="I23" s="249">
        <v>475</v>
      </c>
      <c r="J23" s="249">
        <f t="shared" si="4"/>
        <v>14.30985</v>
      </c>
      <c r="K23" s="249"/>
      <c r="L23" s="249"/>
      <c r="M23" s="249"/>
      <c r="N23" s="249"/>
      <c r="O23" s="249">
        <v>475</v>
      </c>
      <c r="P23" s="1553">
        <f>O23*30.126/1000</f>
        <v>14.30985</v>
      </c>
      <c r="Q23" s="2302">
        <v>475</v>
      </c>
      <c r="R23" s="2303">
        <f>Q23*30.126/1000</f>
        <v>14.30985</v>
      </c>
      <c r="S23" s="2291"/>
      <c r="T23" s="249"/>
      <c r="U23" s="249"/>
      <c r="V23" s="304"/>
    </row>
    <row r="24" spans="1:22" s="6" customFormat="1" ht="15" customHeight="1">
      <c r="A24" s="130" t="s">
        <v>706</v>
      </c>
      <c r="B24" s="868" t="s">
        <v>707</v>
      </c>
      <c r="C24" s="930">
        <f aca="true" t="shared" si="8" ref="C24:J24">SUM(C25:C40)</f>
        <v>75724</v>
      </c>
      <c r="D24" s="1582">
        <f t="shared" si="8"/>
        <v>82672</v>
      </c>
      <c r="E24" s="2371">
        <f t="shared" si="8"/>
        <v>2826628</v>
      </c>
      <c r="F24" s="227">
        <f t="shared" si="8"/>
        <v>85154.99512800001</v>
      </c>
      <c r="G24" s="563">
        <f t="shared" si="8"/>
        <v>3102899</v>
      </c>
      <c r="H24" s="569">
        <f t="shared" si="8"/>
        <v>93477.93527400003</v>
      </c>
      <c r="I24" s="257">
        <f t="shared" si="8"/>
        <v>3102899</v>
      </c>
      <c r="J24" s="257">
        <f t="shared" si="8"/>
        <v>93477.93527400003</v>
      </c>
      <c r="K24" s="257">
        <f aca="true" t="shared" si="9" ref="K24:P24">SUM(K25:K40)</f>
        <v>0</v>
      </c>
      <c r="L24" s="257">
        <f t="shared" si="9"/>
        <v>0</v>
      </c>
      <c r="M24" s="257">
        <f t="shared" si="9"/>
        <v>0</v>
      </c>
      <c r="N24" s="257">
        <f t="shared" si="9"/>
        <v>0</v>
      </c>
      <c r="O24" s="257">
        <f t="shared" si="9"/>
        <v>3078163</v>
      </c>
      <c r="P24" s="1576">
        <f t="shared" si="9"/>
        <v>92732.73853800002</v>
      </c>
      <c r="Q24" s="2259">
        <f>SUM(Q25:Q40)</f>
        <v>2878351</v>
      </c>
      <c r="R24" s="979">
        <f>SUM(R25:R40)</f>
        <v>86713.202226</v>
      </c>
      <c r="S24" s="2246"/>
      <c r="T24" s="257"/>
      <c r="U24" s="257"/>
      <c r="V24" s="311"/>
    </row>
    <row r="25" spans="1:22" s="6" customFormat="1" ht="15" customHeight="1">
      <c r="A25" s="123"/>
      <c r="B25" s="789" t="s">
        <v>1183</v>
      </c>
      <c r="C25" s="883">
        <v>52426</v>
      </c>
      <c r="D25" s="2305">
        <v>57851</v>
      </c>
      <c r="E25" s="2414">
        <f>2058023-179243</f>
        <v>1878780</v>
      </c>
      <c r="F25" s="720">
        <f>(E25*30.126)/1000</f>
        <v>56600.126280000004</v>
      </c>
      <c r="G25" s="732">
        <v>2114105</v>
      </c>
      <c r="H25" s="706">
        <f>G25*30.126/1000</f>
        <v>63689.52723000001</v>
      </c>
      <c r="I25" s="704">
        <v>2114105</v>
      </c>
      <c r="J25" s="249">
        <f aca="true" t="shared" si="10" ref="J25:J40">I25*30.126/1000</f>
        <v>63689.52723000001</v>
      </c>
      <c r="K25" s="704"/>
      <c r="L25" s="704"/>
      <c r="M25" s="704"/>
      <c r="N25" s="249"/>
      <c r="O25" s="704">
        <v>2114105</v>
      </c>
      <c r="P25" s="1553">
        <f aca="true" t="shared" si="11" ref="P25:R40">O25*30.126/1000</f>
        <v>63689.52723000001</v>
      </c>
      <c r="Q25" s="2468">
        <v>1945860</v>
      </c>
      <c r="R25" s="2303">
        <f t="shared" si="11"/>
        <v>58620.97836</v>
      </c>
      <c r="S25" s="2448"/>
      <c r="T25" s="249"/>
      <c r="U25" s="704"/>
      <c r="V25" s="304"/>
    </row>
    <row r="26" spans="1:22" s="6" customFormat="1" ht="15" customHeight="1" hidden="1">
      <c r="A26" s="115"/>
      <c r="B26" s="789" t="s">
        <v>727</v>
      </c>
      <c r="C26" s="883">
        <v>500</v>
      </c>
      <c r="D26" s="2305">
        <v>27</v>
      </c>
      <c r="E26" s="2371"/>
      <c r="F26" s="720">
        <f>(E26*30.126)/1000</f>
        <v>0</v>
      </c>
      <c r="G26" s="563"/>
      <c r="H26" s="706"/>
      <c r="I26" s="257"/>
      <c r="J26" s="249">
        <f t="shared" si="10"/>
        <v>0</v>
      </c>
      <c r="K26" s="257"/>
      <c r="L26" s="257"/>
      <c r="M26" s="257"/>
      <c r="N26" s="249"/>
      <c r="O26" s="257"/>
      <c r="P26" s="1553">
        <f t="shared" si="11"/>
        <v>0</v>
      </c>
      <c r="Q26" s="2259"/>
      <c r="R26" s="2303">
        <f>Q26*30.126/1000</f>
        <v>0</v>
      </c>
      <c r="S26" s="2246"/>
      <c r="T26" s="249"/>
      <c r="U26" s="257"/>
      <c r="V26" s="304"/>
    </row>
    <row r="27" spans="1:22" s="6" customFormat="1" ht="15" customHeight="1">
      <c r="A27" s="115"/>
      <c r="B27" s="789" t="s">
        <v>524</v>
      </c>
      <c r="C27" s="883"/>
      <c r="D27" s="2305"/>
      <c r="E27" s="2371">
        <v>48463</v>
      </c>
      <c r="F27" s="720">
        <f>(E27*30.126)/1000</f>
        <v>1459.996338</v>
      </c>
      <c r="G27" s="563"/>
      <c r="H27" s="706"/>
      <c r="I27" s="257"/>
      <c r="J27" s="249"/>
      <c r="K27" s="257"/>
      <c r="L27" s="257"/>
      <c r="M27" s="257"/>
      <c r="N27" s="249"/>
      <c r="O27" s="257"/>
      <c r="P27" s="1553"/>
      <c r="Q27" s="2259">
        <v>21808</v>
      </c>
      <c r="R27" s="2303">
        <f>Q27*30.126/1000</f>
        <v>656.9878080000001</v>
      </c>
      <c r="S27" s="2246"/>
      <c r="T27" s="249"/>
      <c r="U27" s="257"/>
      <c r="V27" s="304"/>
    </row>
    <row r="28" spans="1:22" s="6" customFormat="1" ht="15" customHeight="1">
      <c r="A28" s="115"/>
      <c r="B28" s="789" t="s">
        <v>728</v>
      </c>
      <c r="C28" s="883">
        <v>200</v>
      </c>
      <c r="D28" s="2305">
        <v>92</v>
      </c>
      <c r="E28" s="772">
        <v>3651</v>
      </c>
      <c r="F28" s="720">
        <f aca="true" t="shared" si="12" ref="F28:F39">(E28*30.126)/1000</f>
        <v>109.990026</v>
      </c>
      <c r="G28" s="446">
        <v>3651</v>
      </c>
      <c r="H28" s="706">
        <f aca="true" t="shared" si="13" ref="H28:H40">G28*30.126/1000</f>
        <v>109.990026</v>
      </c>
      <c r="I28" s="249">
        <v>3651</v>
      </c>
      <c r="J28" s="249">
        <f t="shared" si="10"/>
        <v>109.990026</v>
      </c>
      <c r="K28" s="249"/>
      <c r="L28" s="249"/>
      <c r="M28" s="249"/>
      <c r="N28" s="249"/>
      <c r="O28" s="249">
        <v>3651</v>
      </c>
      <c r="P28" s="1553">
        <f t="shared" si="11"/>
        <v>109.990026</v>
      </c>
      <c r="Q28" s="2302">
        <v>3651</v>
      </c>
      <c r="R28" s="2303">
        <f t="shared" si="11"/>
        <v>109.990026</v>
      </c>
      <c r="S28" s="2291"/>
      <c r="T28" s="249"/>
      <c r="U28" s="249"/>
      <c r="V28" s="304"/>
    </row>
    <row r="29" spans="1:22" s="6" customFormat="1" ht="15" customHeight="1">
      <c r="A29" s="115"/>
      <c r="B29" s="789" t="s">
        <v>729</v>
      </c>
      <c r="C29" s="883"/>
      <c r="D29" s="2305">
        <v>322</v>
      </c>
      <c r="E29" s="772">
        <v>6672</v>
      </c>
      <c r="F29" s="720">
        <f t="shared" si="12"/>
        <v>201.000672</v>
      </c>
      <c r="G29" s="446">
        <v>6238</v>
      </c>
      <c r="H29" s="706">
        <f t="shared" si="13"/>
        <v>187.92598800000002</v>
      </c>
      <c r="I29" s="249">
        <v>6238</v>
      </c>
      <c r="J29" s="249">
        <f t="shared" si="10"/>
        <v>187.92598800000002</v>
      </c>
      <c r="K29" s="249"/>
      <c r="L29" s="249"/>
      <c r="M29" s="249"/>
      <c r="N29" s="249"/>
      <c r="O29" s="249">
        <v>6238</v>
      </c>
      <c r="P29" s="1553">
        <f t="shared" si="11"/>
        <v>187.92598800000002</v>
      </c>
      <c r="Q29" s="2302">
        <v>6238</v>
      </c>
      <c r="R29" s="2303">
        <f t="shared" si="11"/>
        <v>187.92598800000002</v>
      </c>
      <c r="S29" s="2291"/>
      <c r="T29" s="249"/>
      <c r="U29" s="249"/>
      <c r="V29" s="304"/>
    </row>
    <row r="30" spans="1:22" s="6" customFormat="1" ht="15" customHeight="1">
      <c r="A30" s="115"/>
      <c r="B30" s="789" t="s">
        <v>1215</v>
      </c>
      <c r="C30" s="883"/>
      <c r="D30" s="2305"/>
      <c r="E30" s="772"/>
      <c r="F30" s="720"/>
      <c r="G30" s="446">
        <v>2200</v>
      </c>
      <c r="H30" s="706">
        <f t="shared" si="13"/>
        <v>66.2772</v>
      </c>
      <c r="I30" s="249">
        <v>2200</v>
      </c>
      <c r="J30" s="249">
        <f t="shared" si="10"/>
        <v>66.2772</v>
      </c>
      <c r="K30" s="249"/>
      <c r="L30" s="249"/>
      <c r="M30" s="249"/>
      <c r="N30" s="249"/>
      <c r="O30" s="249">
        <v>2200</v>
      </c>
      <c r="P30" s="1553">
        <f t="shared" si="11"/>
        <v>66.2772</v>
      </c>
      <c r="Q30" s="2302">
        <v>2200</v>
      </c>
      <c r="R30" s="2303">
        <f t="shared" si="11"/>
        <v>66.2772</v>
      </c>
      <c r="S30" s="2291"/>
      <c r="T30" s="249"/>
      <c r="U30" s="249"/>
      <c r="V30" s="304"/>
    </row>
    <row r="31" spans="1:22" s="6" customFormat="1" ht="15" customHeight="1">
      <c r="A31" s="115"/>
      <c r="B31" s="789" t="s">
        <v>730</v>
      </c>
      <c r="C31" s="883">
        <v>18257</v>
      </c>
      <c r="D31" s="2305">
        <v>19395</v>
      </c>
      <c r="E31" s="2414">
        <f>734150-45710</f>
        <v>688440</v>
      </c>
      <c r="F31" s="720">
        <f t="shared" si="12"/>
        <v>20739.943440000003</v>
      </c>
      <c r="G31" s="732">
        <v>738890</v>
      </c>
      <c r="H31" s="706">
        <f t="shared" si="13"/>
        <v>22259.80014</v>
      </c>
      <c r="I31" s="704">
        <v>738890</v>
      </c>
      <c r="J31" s="249">
        <f t="shared" si="10"/>
        <v>22259.80014</v>
      </c>
      <c r="K31" s="704"/>
      <c r="L31" s="704"/>
      <c r="M31" s="704"/>
      <c r="N31" s="249"/>
      <c r="O31" s="704">
        <v>738890</v>
      </c>
      <c r="P31" s="1553">
        <f t="shared" si="11"/>
        <v>22259.80014</v>
      </c>
      <c r="Q31" s="2468">
        <v>687711</v>
      </c>
      <c r="R31" s="2303">
        <f t="shared" si="11"/>
        <v>20717.981585999998</v>
      </c>
      <c r="S31" s="2448"/>
      <c r="T31" s="249"/>
      <c r="U31" s="704"/>
      <c r="V31" s="304"/>
    </row>
    <row r="32" spans="1:22" s="6" customFormat="1" ht="15" customHeight="1">
      <c r="A32" s="115"/>
      <c r="B32" s="789" t="s">
        <v>731</v>
      </c>
      <c r="C32" s="883">
        <v>876</v>
      </c>
      <c r="D32" s="2305">
        <v>939</v>
      </c>
      <c r="E32" s="2371">
        <v>33194</v>
      </c>
      <c r="F32" s="720">
        <f t="shared" si="12"/>
        <v>1000.002444</v>
      </c>
      <c r="G32" s="563">
        <v>36513</v>
      </c>
      <c r="H32" s="706">
        <f t="shared" si="13"/>
        <v>1099.990638</v>
      </c>
      <c r="I32" s="257">
        <v>36513</v>
      </c>
      <c r="J32" s="249">
        <f t="shared" si="10"/>
        <v>1099.990638</v>
      </c>
      <c r="K32" s="257"/>
      <c r="L32" s="257"/>
      <c r="M32" s="257"/>
      <c r="N32" s="249"/>
      <c r="O32" s="257">
        <v>36513</v>
      </c>
      <c r="P32" s="1553">
        <f t="shared" si="11"/>
        <v>1099.990638</v>
      </c>
      <c r="Q32" s="2259">
        <v>36513</v>
      </c>
      <c r="R32" s="2303">
        <f t="shared" si="11"/>
        <v>1099.990638</v>
      </c>
      <c r="S32" s="2246"/>
      <c r="T32" s="249"/>
      <c r="U32" s="257"/>
      <c r="V32" s="304"/>
    </row>
    <row r="33" spans="1:22" s="6" customFormat="1" ht="15" customHeight="1">
      <c r="A33" s="115"/>
      <c r="B33" s="789" t="s">
        <v>732</v>
      </c>
      <c r="C33" s="883">
        <v>160</v>
      </c>
      <c r="D33" s="2305">
        <v>112</v>
      </c>
      <c r="E33" s="772">
        <v>12713</v>
      </c>
      <c r="F33" s="720">
        <f t="shared" si="12"/>
        <v>382.991838</v>
      </c>
      <c r="G33" s="446">
        <v>34736</v>
      </c>
      <c r="H33" s="706">
        <f t="shared" si="13"/>
        <v>1046.456736</v>
      </c>
      <c r="I33" s="249">
        <v>34736</v>
      </c>
      <c r="J33" s="249">
        <f t="shared" si="10"/>
        <v>1046.456736</v>
      </c>
      <c r="K33" s="249"/>
      <c r="L33" s="249"/>
      <c r="M33" s="249"/>
      <c r="N33" s="249"/>
      <c r="O33" s="249">
        <v>10000</v>
      </c>
      <c r="P33" s="1553">
        <f t="shared" si="11"/>
        <v>301.26</v>
      </c>
      <c r="Q33" s="2302">
        <v>10000</v>
      </c>
      <c r="R33" s="2303">
        <f t="shared" si="11"/>
        <v>301.26</v>
      </c>
      <c r="S33" s="2291"/>
      <c r="T33" s="249"/>
      <c r="U33" s="249"/>
      <c r="V33" s="304"/>
    </row>
    <row r="34" spans="1:22" s="6" customFormat="1" ht="15" customHeight="1">
      <c r="A34" s="115"/>
      <c r="B34" s="789" t="s">
        <v>733</v>
      </c>
      <c r="C34" s="883">
        <v>805</v>
      </c>
      <c r="D34" s="2305">
        <v>811</v>
      </c>
      <c r="E34" s="772">
        <f>31269-1960</f>
        <v>29309</v>
      </c>
      <c r="F34" s="720">
        <f t="shared" si="12"/>
        <v>882.962934</v>
      </c>
      <c r="G34" s="446">
        <v>32365</v>
      </c>
      <c r="H34" s="706">
        <f t="shared" si="13"/>
        <v>975.02799</v>
      </c>
      <c r="I34" s="249">
        <v>32365</v>
      </c>
      <c r="J34" s="249">
        <f t="shared" si="10"/>
        <v>975.02799</v>
      </c>
      <c r="K34" s="249"/>
      <c r="L34" s="249"/>
      <c r="M34" s="249"/>
      <c r="N34" s="249"/>
      <c r="O34" s="249">
        <v>32365</v>
      </c>
      <c r="P34" s="1553">
        <f t="shared" si="11"/>
        <v>975.02799</v>
      </c>
      <c r="Q34" s="2302">
        <v>30169</v>
      </c>
      <c r="R34" s="2303">
        <f t="shared" si="11"/>
        <v>908.871294</v>
      </c>
      <c r="S34" s="2291"/>
      <c r="T34" s="249"/>
      <c r="U34" s="249"/>
      <c r="V34" s="304"/>
    </row>
    <row r="35" spans="1:22" s="6" customFormat="1" ht="15" customHeight="1">
      <c r="A35" s="115"/>
      <c r="B35" s="789" t="s">
        <v>829</v>
      </c>
      <c r="C35" s="883"/>
      <c r="D35" s="2305">
        <v>148</v>
      </c>
      <c r="E35" s="772">
        <v>8298</v>
      </c>
      <c r="F35" s="720">
        <f t="shared" si="12"/>
        <v>249.98554800000002</v>
      </c>
      <c r="G35" s="446">
        <v>9958</v>
      </c>
      <c r="H35" s="706">
        <f t="shared" si="13"/>
        <v>299.994708</v>
      </c>
      <c r="I35" s="249">
        <v>9958</v>
      </c>
      <c r="J35" s="249">
        <f t="shared" si="10"/>
        <v>299.994708</v>
      </c>
      <c r="K35" s="249"/>
      <c r="L35" s="249"/>
      <c r="M35" s="249"/>
      <c r="N35" s="249"/>
      <c r="O35" s="249">
        <v>9958</v>
      </c>
      <c r="P35" s="1553">
        <f t="shared" si="11"/>
        <v>299.994708</v>
      </c>
      <c r="Q35" s="2302">
        <v>9958</v>
      </c>
      <c r="R35" s="2303">
        <f t="shared" si="11"/>
        <v>299.994708</v>
      </c>
      <c r="S35" s="2291"/>
      <c r="T35" s="249"/>
      <c r="U35" s="249"/>
      <c r="V35" s="304"/>
    </row>
    <row r="36" spans="1:22" s="6" customFormat="1" ht="15" customHeight="1">
      <c r="A36" s="115"/>
      <c r="B36" s="789" t="s">
        <v>830</v>
      </c>
      <c r="C36" s="883">
        <v>2025</v>
      </c>
      <c r="D36" s="2305">
        <v>2300</v>
      </c>
      <c r="E36" s="2371">
        <v>82985</v>
      </c>
      <c r="F36" s="720">
        <f t="shared" si="12"/>
        <v>2500.00611</v>
      </c>
      <c r="G36" s="563">
        <v>82985</v>
      </c>
      <c r="H36" s="706">
        <f t="shared" si="13"/>
        <v>2500.00611</v>
      </c>
      <c r="I36" s="257">
        <v>82985</v>
      </c>
      <c r="J36" s="249">
        <f t="shared" si="10"/>
        <v>2500.00611</v>
      </c>
      <c r="K36" s="257"/>
      <c r="L36" s="257"/>
      <c r="M36" s="257"/>
      <c r="N36" s="249"/>
      <c r="O36" s="257">
        <v>82985</v>
      </c>
      <c r="P36" s="1553">
        <f t="shared" si="11"/>
        <v>2500.00611</v>
      </c>
      <c r="Q36" s="2259">
        <v>82985</v>
      </c>
      <c r="R36" s="2303">
        <f t="shared" si="11"/>
        <v>2500.00611</v>
      </c>
      <c r="S36" s="2246"/>
      <c r="T36" s="249"/>
      <c r="U36" s="257"/>
      <c r="V36" s="304"/>
    </row>
    <row r="37" spans="1:22" s="6" customFormat="1" ht="15" customHeight="1">
      <c r="A37" s="115"/>
      <c r="B37" s="789" t="s">
        <v>831</v>
      </c>
      <c r="C37" s="883">
        <v>375</v>
      </c>
      <c r="D37" s="2305">
        <v>600</v>
      </c>
      <c r="E37" s="2371">
        <v>18024</v>
      </c>
      <c r="F37" s="720">
        <f t="shared" si="12"/>
        <v>542.9910239999999</v>
      </c>
      <c r="G37" s="563">
        <v>19916</v>
      </c>
      <c r="H37" s="706">
        <f t="shared" si="13"/>
        <v>599.989416</v>
      </c>
      <c r="I37" s="257">
        <v>19916</v>
      </c>
      <c r="J37" s="249">
        <f t="shared" si="10"/>
        <v>599.989416</v>
      </c>
      <c r="K37" s="257"/>
      <c r="L37" s="257"/>
      <c r="M37" s="257"/>
      <c r="N37" s="249"/>
      <c r="O37" s="257">
        <v>19916</v>
      </c>
      <c r="P37" s="1553">
        <f t="shared" si="11"/>
        <v>599.989416</v>
      </c>
      <c r="Q37" s="2259">
        <v>19916</v>
      </c>
      <c r="R37" s="2303">
        <f t="shared" si="11"/>
        <v>599.989416</v>
      </c>
      <c r="S37" s="2246"/>
      <c r="T37" s="249"/>
      <c r="U37" s="257"/>
      <c r="V37" s="304"/>
    </row>
    <row r="38" spans="1:22" s="6" customFormat="1" ht="15" customHeight="1">
      <c r="A38" s="115"/>
      <c r="B38" s="789" t="s">
        <v>832</v>
      </c>
      <c r="C38" s="883">
        <v>100</v>
      </c>
      <c r="D38" s="2305">
        <v>75</v>
      </c>
      <c r="E38" s="2371">
        <v>2324</v>
      </c>
      <c r="F38" s="720">
        <f t="shared" si="12"/>
        <v>70.01282400000001</v>
      </c>
      <c r="G38" s="563">
        <v>2324</v>
      </c>
      <c r="H38" s="706">
        <f t="shared" si="13"/>
        <v>70.01282400000001</v>
      </c>
      <c r="I38" s="257">
        <v>2324</v>
      </c>
      <c r="J38" s="249">
        <f t="shared" si="10"/>
        <v>70.01282400000001</v>
      </c>
      <c r="K38" s="257"/>
      <c r="L38" s="257"/>
      <c r="M38" s="257"/>
      <c r="N38" s="249"/>
      <c r="O38" s="257">
        <v>2324</v>
      </c>
      <c r="P38" s="1553">
        <f t="shared" si="11"/>
        <v>70.01282400000001</v>
      </c>
      <c r="Q38" s="2259">
        <v>2324</v>
      </c>
      <c r="R38" s="2303">
        <f t="shared" si="11"/>
        <v>70.01282400000001</v>
      </c>
      <c r="S38" s="2246"/>
      <c r="T38" s="249"/>
      <c r="U38" s="257"/>
      <c r="V38" s="304"/>
    </row>
    <row r="39" spans="1:22" s="6" customFormat="1" ht="15" customHeight="1">
      <c r="A39" s="115"/>
      <c r="B39" s="789" t="s">
        <v>723</v>
      </c>
      <c r="C39" s="883"/>
      <c r="D39" s="2305"/>
      <c r="E39" s="2371">
        <v>13775</v>
      </c>
      <c r="F39" s="720">
        <f t="shared" si="12"/>
        <v>414.98565</v>
      </c>
      <c r="G39" s="563">
        <v>7400</v>
      </c>
      <c r="H39" s="706">
        <f t="shared" si="13"/>
        <v>222.93240000000003</v>
      </c>
      <c r="I39" s="257">
        <v>7400</v>
      </c>
      <c r="J39" s="249">
        <f t="shared" si="10"/>
        <v>222.93240000000003</v>
      </c>
      <c r="K39" s="257"/>
      <c r="L39" s="257"/>
      <c r="M39" s="257"/>
      <c r="N39" s="249"/>
      <c r="O39" s="257">
        <v>7400</v>
      </c>
      <c r="P39" s="1553">
        <f t="shared" si="11"/>
        <v>222.93240000000003</v>
      </c>
      <c r="Q39" s="2259">
        <v>7400</v>
      </c>
      <c r="R39" s="2303">
        <f t="shared" si="11"/>
        <v>222.93240000000003</v>
      </c>
      <c r="S39" s="2246"/>
      <c r="T39" s="249"/>
      <c r="U39" s="257"/>
      <c r="V39" s="304"/>
    </row>
    <row r="40" spans="1:22" s="6" customFormat="1" ht="15" customHeight="1">
      <c r="A40" s="1810"/>
      <c r="B40" s="1811" t="s">
        <v>833</v>
      </c>
      <c r="C40" s="1812"/>
      <c r="D40" s="2423"/>
      <c r="E40" s="2431"/>
      <c r="F40" s="2432"/>
      <c r="G40" s="2426">
        <v>11618</v>
      </c>
      <c r="H40" s="1813">
        <f t="shared" si="13"/>
        <v>350.003868</v>
      </c>
      <c r="I40" s="1814">
        <v>11618</v>
      </c>
      <c r="J40" s="1815">
        <f t="shared" si="10"/>
        <v>350.003868</v>
      </c>
      <c r="K40" s="1814"/>
      <c r="L40" s="1814"/>
      <c r="M40" s="1814"/>
      <c r="N40" s="1815"/>
      <c r="O40" s="1814">
        <v>11618</v>
      </c>
      <c r="P40" s="1817">
        <f t="shared" si="11"/>
        <v>350.003868</v>
      </c>
      <c r="Q40" s="2470">
        <v>11618</v>
      </c>
      <c r="R40" s="2471">
        <f t="shared" si="11"/>
        <v>350.003868</v>
      </c>
      <c r="S40" s="2450"/>
      <c r="T40" s="1815"/>
      <c r="U40" s="1814"/>
      <c r="V40" s="1816"/>
    </row>
    <row r="41" spans="1:22" s="6" customFormat="1" ht="15" customHeight="1" hidden="1">
      <c r="A41" s="115"/>
      <c r="B41" s="1798" t="s">
        <v>666</v>
      </c>
      <c r="C41" s="1799"/>
      <c r="D41" s="2266"/>
      <c r="E41" s="2433"/>
      <c r="F41" s="2434"/>
      <c r="G41" s="2427"/>
      <c r="H41" s="1801"/>
      <c r="I41" s="1355"/>
      <c r="J41" s="1800"/>
      <c r="K41" s="1800"/>
      <c r="L41" s="1801"/>
      <c r="M41" s="1355"/>
      <c r="N41" s="1802"/>
      <c r="O41" s="1355"/>
      <c r="P41" s="1818"/>
      <c r="Q41" s="2472"/>
      <c r="R41" s="2473"/>
      <c r="S41" s="2451"/>
      <c r="T41" s="1820"/>
      <c r="U41" s="1820"/>
      <c r="V41" s="1821"/>
    </row>
    <row r="42" spans="1:22" s="6" customFormat="1" ht="15.75" customHeight="1" thickBot="1">
      <c r="A42" s="1803" t="s">
        <v>708</v>
      </c>
      <c r="B42" s="1804" t="s">
        <v>709</v>
      </c>
      <c r="C42" s="1805"/>
      <c r="D42" s="2424"/>
      <c r="E42" s="2435">
        <v>192525</v>
      </c>
      <c r="F42" s="2436">
        <f>(E42*30.126)/1000</f>
        <v>5800.008150000001</v>
      </c>
      <c r="G42" s="2428"/>
      <c r="H42" s="1807"/>
      <c r="I42" s="1808"/>
      <c r="J42" s="1806"/>
      <c r="K42" s="1806"/>
      <c r="L42" s="1807"/>
      <c r="M42" s="1808"/>
      <c r="N42" s="1809"/>
      <c r="O42" s="1808"/>
      <c r="P42" s="1819"/>
      <c r="Q42" s="2474"/>
      <c r="R42" s="2475"/>
      <c r="S42" s="2452"/>
      <c r="T42" s="1822"/>
      <c r="U42" s="1822"/>
      <c r="V42" s="1823"/>
    </row>
    <row r="43" ht="19.5" customHeight="1" thickBot="1"/>
    <row r="44" spans="1:22" s="23" customFormat="1" ht="39.75" customHeight="1" thickTop="1">
      <c r="A44" s="2992"/>
      <c r="B44" s="2993"/>
      <c r="C44" s="931" t="s">
        <v>506</v>
      </c>
      <c r="D44" s="933" t="s">
        <v>507</v>
      </c>
      <c r="E44" s="2890" t="s">
        <v>184</v>
      </c>
      <c r="F44" s="2891"/>
      <c r="G44" s="1388" t="s">
        <v>510</v>
      </c>
      <c r="H44" s="1389" t="s">
        <v>510</v>
      </c>
      <c r="I44" s="1390" t="s">
        <v>87</v>
      </c>
      <c r="J44" s="1390" t="s">
        <v>87</v>
      </c>
      <c r="K44" s="2997" t="s">
        <v>509</v>
      </c>
      <c r="L44" s="2997"/>
      <c r="M44" s="2997" t="s">
        <v>508</v>
      </c>
      <c r="N44" s="2997"/>
      <c r="O44" s="1391" t="s">
        <v>952</v>
      </c>
      <c r="P44" s="1392" t="s">
        <v>952</v>
      </c>
      <c r="Q44" s="2948" t="s">
        <v>183</v>
      </c>
      <c r="R44" s="2949"/>
      <c r="S44" s="2892" t="s">
        <v>725</v>
      </c>
      <c r="T44" s="2875"/>
      <c r="U44" s="2875" t="s">
        <v>726</v>
      </c>
      <c r="V44" s="2878"/>
    </row>
    <row r="45" spans="1:22" s="24" customFormat="1" ht="15" customHeight="1" thickBot="1">
      <c r="A45" s="2994"/>
      <c r="B45" s="2995"/>
      <c r="C45" s="932" t="s">
        <v>966</v>
      </c>
      <c r="D45" s="934" t="s">
        <v>966</v>
      </c>
      <c r="E45" s="768" t="s">
        <v>435</v>
      </c>
      <c r="F45" s="307" t="s">
        <v>966</v>
      </c>
      <c r="G45" s="571" t="s">
        <v>435</v>
      </c>
      <c r="H45" s="1393" t="s">
        <v>966</v>
      </c>
      <c r="I45" s="1394" t="s">
        <v>435</v>
      </c>
      <c r="J45" s="1394" t="s">
        <v>966</v>
      </c>
      <c r="K45" s="707" t="s">
        <v>435</v>
      </c>
      <c r="L45" s="707" t="s">
        <v>966</v>
      </c>
      <c r="M45" s="707" t="s">
        <v>435</v>
      </c>
      <c r="N45" s="707" t="s">
        <v>966</v>
      </c>
      <c r="O45" s="1395" t="s">
        <v>435</v>
      </c>
      <c r="P45" s="1396" t="s">
        <v>966</v>
      </c>
      <c r="Q45" s="2250" t="s">
        <v>435</v>
      </c>
      <c r="R45" s="975" t="s">
        <v>966</v>
      </c>
      <c r="S45" s="797" t="s">
        <v>435</v>
      </c>
      <c r="T45" s="241" t="s">
        <v>966</v>
      </c>
      <c r="U45" s="241" t="s">
        <v>435</v>
      </c>
      <c r="V45" s="796" t="s">
        <v>966</v>
      </c>
    </row>
    <row r="46" spans="1:22" s="420" customFormat="1" ht="19.5" customHeight="1">
      <c r="A46" s="1797" t="s">
        <v>757</v>
      </c>
      <c r="B46" s="1397" t="s">
        <v>318</v>
      </c>
      <c r="C46" s="1398">
        <f aca="true" t="shared" si="14" ref="C46:C51">C49</f>
        <v>0</v>
      </c>
      <c r="D46" s="1399">
        <f aca="true" t="shared" si="15" ref="D46:F51">D49</f>
        <v>828</v>
      </c>
      <c r="E46" s="1018">
        <f t="shared" si="15"/>
        <v>3319</v>
      </c>
      <c r="F46" s="1017">
        <f t="shared" si="15"/>
        <v>99.98819400000001</v>
      </c>
      <c r="G46" s="2437">
        <f aca="true" t="shared" si="16" ref="G46:Q46">G49</f>
        <v>0</v>
      </c>
      <c r="H46" s="1014">
        <f t="shared" si="16"/>
        <v>0</v>
      </c>
      <c r="I46" s="1014">
        <f t="shared" si="16"/>
        <v>0</v>
      </c>
      <c r="J46" s="1014">
        <f t="shared" si="16"/>
        <v>0</v>
      </c>
      <c r="K46" s="1014">
        <f t="shared" si="16"/>
        <v>0</v>
      </c>
      <c r="L46" s="1014">
        <f t="shared" si="16"/>
        <v>0</v>
      </c>
      <c r="M46" s="1014">
        <f t="shared" si="16"/>
        <v>0</v>
      </c>
      <c r="N46" s="1014">
        <f t="shared" si="16"/>
        <v>0</v>
      </c>
      <c r="O46" s="1014">
        <f t="shared" si="16"/>
        <v>0</v>
      </c>
      <c r="P46" s="1507">
        <f t="shared" si="16"/>
        <v>0</v>
      </c>
      <c r="Q46" s="2453">
        <f t="shared" si="16"/>
        <v>0</v>
      </c>
      <c r="R46" s="2454">
        <f aca="true" t="shared" si="17" ref="R46:V51">R49</f>
        <v>0</v>
      </c>
      <c r="S46" s="1019">
        <f t="shared" si="17"/>
        <v>0</v>
      </c>
      <c r="T46" s="1178">
        <f t="shared" si="17"/>
        <v>0</v>
      </c>
      <c r="U46" s="1178">
        <f t="shared" si="17"/>
        <v>0</v>
      </c>
      <c r="V46" s="1179">
        <f t="shared" si="17"/>
        <v>0</v>
      </c>
    </row>
    <row r="47" spans="1:22" s="30" customFormat="1" ht="15" customHeight="1">
      <c r="A47" s="1400"/>
      <c r="B47" s="1401" t="s">
        <v>7</v>
      </c>
      <c r="C47" s="1402">
        <f t="shared" si="14"/>
        <v>0</v>
      </c>
      <c r="D47" s="1403">
        <f t="shared" si="15"/>
        <v>0</v>
      </c>
      <c r="E47" s="1027">
        <f t="shared" si="15"/>
        <v>3319</v>
      </c>
      <c r="F47" s="1026">
        <f t="shared" si="15"/>
        <v>99.98819400000001</v>
      </c>
      <c r="G47" s="2438">
        <f aca="true" t="shared" si="18" ref="G47:Q47">G50</f>
        <v>0</v>
      </c>
      <c r="H47" s="1023">
        <f t="shared" si="18"/>
        <v>0</v>
      </c>
      <c r="I47" s="1023">
        <f t="shared" si="18"/>
        <v>0</v>
      </c>
      <c r="J47" s="1023">
        <f t="shared" si="18"/>
        <v>0</v>
      </c>
      <c r="K47" s="1023">
        <f t="shared" si="18"/>
        <v>0</v>
      </c>
      <c r="L47" s="1023">
        <f t="shared" si="18"/>
        <v>0</v>
      </c>
      <c r="M47" s="1023">
        <f t="shared" si="18"/>
        <v>0</v>
      </c>
      <c r="N47" s="1023">
        <f t="shared" si="18"/>
        <v>0</v>
      </c>
      <c r="O47" s="1023">
        <f t="shared" si="18"/>
        <v>0</v>
      </c>
      <c r="P47" s="1508">
        <f t="shared" si="18"/>
        <v>0</v>
      </c>
      <c r="Q47" s="2455">
        <f t="shared" si="18"/>
        <v>0</v>
      </c>
      <c r="R47" s="2456">
        <f t="shared" si="17"/>
        <v>0</v>
      </c>
      <c r="S47" s="1028">
        <f t="shared" si="17"/>
        <v>0</v>
      </c>
      <c r="T47" s="1184">
        <f t="shared" si="17"/>
        <v>0</v>
      </c>
      <c r="U47" s="1184">
        <f t="shared" si="17"/>
        <v>0</v>
      </c>
      <c r="V47" s="1185">
        <f t="shared" si="17"/>
        <v>0</v>
      </c>
    </row>
    <row r="48" spans="1:22" s="49" customFormat="1" ht="15" customHeight="1">
      <c r="A48" s="1404"/>
      <c r="B48" s="1405" t="s">
        <v>8</v>
      </c>
      <c r="C48" s="1406">
        <f t="shared" si="14"/>
        <v>0</v>
      </c>
      <c r="D48" s="1407">
        <f t="shared" si="15"/>
        <v>828</v>
      </c>
      <c r="E48" s="1036">
        <f t="shared" si="15"/>
        <v>0</v>
      </c>
      <c r="F48" s="1035">
        <f t="shared" si="15"/>
        <v>0</v>
      </c>
      <c r="G48" s="2439">
        <f aca="true" t="shared" si="19" ref="G48:Q48">G51</f>
        <v>0</v>
      </c>
      <c r="H48" s="1032">
        <f t="shared" si="19"/>
        <v>0</v>
      </c>
      <c r="I48" s="1032">
        <f t="shared" si="19"/>
        <v>0</v>
      </c>
      <c r="J48" s="1032">
        <f t="shared" si="19"/>
        <v>0</v>
      </c>
      <c r="K48" s="1032">
        <f t="shared" si="19"/>
        <v>0</v>
      </c>
      <c r="L48" s="1032">
        <f t="shared" si="19"/>
        <v>0</v>
      </c>
      <c r="M48" s="1032">
        <f t="shared" si="19"/>
        <v>0</v>
      </c>
      <c r="N48" s="1032">
        <f t="shared" si="19"/>
        <v>0</v>
      </c>
      <c r="O48" s="1032">
        <f t="shared" si="19"/>
        <v>0</v>
      </c>
      <c r="P48" s="1509">
        <f t="shared" si="19"/>
        <v>0</v>
      </c>
      <c r="Q48" s="2457">
        <f t="shared" si="19"/>
        <v>0</v>
      </c>
      <c r="R48" s="2458">
        <f t="shared" si="17"/>
        <v>0</v>
      </c>
      <c r="S48" s="1037">
        <f t="shared" si="17"/>
        <v>0</v>
      </c>
      <c r="T48" s="1190">
        <f t="shared" si="17"/>
        <v>0</v>
      </c>
      <c r="U48" s="1190">
        <f t="shared" si="17"/>
        <v>0</v>
      </c>
      <c r="V48" s="1191">
        <f t="shared" si="17"/>
        <v>0</v>
      </c>
    </row>
    <row r="49" spans="1:22" s="49" customFormat="1" ht="15" customHeight="1">
      <c r="A49" s="1408"/>
      <c r="B49" s="1409" t="s">
        <v>965</v>
      </c>
      <c r="C49" s="1410">
        <f t="shared" si="14"/>
        <v>0</v>
      </c>
      <c r="D49" s="1411">
        <f t="shared" si="15"/>
        <v>828</v>
      </c>
      <c r="E49" s="1045">
        <f t="shared" si="15"/>
        <v>3319</v>
      </c>
      <c r="F49" s="1044">
        <f t="shared" si="15"/>
        <v>99.98819400000001</v>
      </c>
      <c r="G49" s="2440">
        <f aca="true" t="shared" si="20" ref="G49:Q49">G52</f>
        <v>0</v>
      </c>
      <c r="H49" s="1041">
        <f t="shared" si="20"/>
        <v>0</v>
      </c>
      <c r="I49" s="1041">
        <f t="shared" si="20"/>
        <v>0</v>
      </c>
      <c r="J49" s="1041">
        <f t="shared" si="20"/>
        <v>0</v>
      </c>
      <c r="K49" s="1041">
        <f t="shared" si="20"/>
        <v>0</v>
      </c>
      <c r="L49" s="1041">
        <f t="shared" si="20"/>
        <v>0</v>
      </c>
      <c r="M49" s="1041">
        <f t="shared" si="20"/>
        <v>0</v>
      </c>
      <c r="N49" s="1041">
        <f t="shared" si="20"/>
        <v>0</v>
      </c>
      <c r="O49" s="1041">
        <f t="shared" si="20"/>
        <v>0</v>
      </c>
      <c r="P49" s="1510">
        <f t="shared" si="20"/>
        <v>0</v>
      </c>
      <c r="Q49" s="2459">
        <f t="shared" si="20"/>
        <v>0</v>
      </c>
      <c r="R49" s="2460">
        <f t="shared" si="17"/>
        <v>0</v>
      </c>
      <c r="S49" s="1046">
        <f t="shared" si="17"/>
        <v>0</v>
      </c>
      <c r="T49" s="1196">
        <f t="shared" si="17"/>
        <v>0</v>
      </c>
      <c r="U49" s="1196">
        <f t="shared" si="17"/>
        <v>0</v>
      </c>
      <c r="V49" s="1197">
        <f t="shared" si="17"/>
        <v>0</v>
      </c>
    </row>
    <row r="50" spans="1:22" s="30" customFormat="1" ht="15" customHeight="1">
      <c r="A50" s="1400"/>
      <c r="B50" s="1401" t="s">
        <v>7</v>
      </c>
      <c r="C50" s="1402">
        <f t="shared" si="14"/>
        <v>0</v>
      </c>
      <c r="D50" s="1403">
        <f t="shared" si="15"/>
        <v>0</v>
      </c>
      <c r="E50" s="1027">
        <f t="shared" si="15"/>
        <v>3319</v>
      </c>
      <c r="F50" s="1026">
        <f t="shared" si="15"/>
        <v>99.98819400000001</v>
      </c>
      <c r="G50" s="2438">
        <f aca="true" t="shared" si="21" ref="G50:Q50">G53</f>
        <v>0</v>
      </c>
      <c r="H50" s="1023">
        <f t="shared" si="21"/>
        <v>0</v>
      </c>
      <c r="I50" s="1023">
        <f t="shared" si="21"/>
        <v>0</v>
      </c>
      <c r="J50" s="1023">
        <f t="shared" si="21"/>
        <v>0</v>
      </c>
      <c r="K50" s="1023">
        <f t="shared" si="21"/>
        <v>0</v>
      </c>
      <c r="L50" s="1023">
        <f t="shared" si="21"/>
        <v>0</v>
      </c>
      <c r="M50" s="1023">
        <f t="shared" si="21"/>
        <v>0</v>
      </c>
      <c r="N50" s="1023">
        <f t="shared" si="21"/>
        <v>0</v>
      </c>
      <c r="O50" s="1023">
        <f t="shared" si="21"/>
        <v>0</v>
      </c>
      <c r="P50" s="1508">
        <f t="shared" si="21"/>
        <v>0</v>
      </c>
      <c r="Q50" s="2455">
        <f t="shared" si="21"/>
        <v>0</v>
      </c>
      <c r="R50" s="2456">
        <f t="shared" si="17"/>
        <v>0</v>
      </c>
      <c r="S50" s="1028">
        <f t="shared" si="17"/>
        <v>0</v>
      </c>
      <c r="T50" s="1184">
        <f t="shared" si="17"/>
        <v>0</v>
      </c>
      <c r="U50" s="1184">
        <f t="shared" si="17"/>
        <v>0</v>
      </c>
      <c r="V50" s="1185">
        <f t="shared" si="17"/>
        <v>0</v>
      </c>
    </row>
    <row r="51" spans="1:22" s="49" customFormat="1" ht="15" customHeight="1">
      <c r="A51" s="1412"/>
      <c r="B51" s="1413" t="s">
        <v>8</v>
      </c>
      <c r="C51" s="1414">
        <f t="shared" si="14"/>
        <v>0</v>
      </c>
      <c r="D51" s="1415">
        <f t="shared" si="15"/>
        <v>828</v>
      </c>
      <c r="E51" s="1054">
        <f t="shared" si="15"/>
        <v>0</v>
      </c>
      <c r="F51" s="1053">
        <f t="shared" si="15"/>
        <v>0</v>
      </c>
      <c r="G51" s="2441">
        <f aca="true" t="shared" si="22" ref="G51:Q51">G54</f>
        <v>0</v>
      </c>
      <c r="H51" s="1050">
        <f t="shared" si="22"/>
        <v>0</v>
      </c>
      <c r="I51" s="1050">
        <f t="shared" si="22"/>
        <v>0</v>
      </c>
      <c r="J51" s="1050">
        <f t="shared" si="22"/>
        <v>0</v>
      </c>
      <c r="K51" s="1050">
        <f t="shared" si="22"/>
        <v>0</v>
      </c>
      <c r="L51" s="1050">
        <f t="shared" si="22"/>
        <v>0</v>
      </c>
      <c r="M51" s="1050">
        <f t="shared" si="22"/>
        <v>0</v>
      </c>
      <c r="N51" s="1050">
        <f t="shared" si="22"/>
        <v>0</v>
      </c>
      <c r="O51" s="1050">
        <f t="shared" si="22"/>
        <v>0</v>
      </c>
      <c r="P51" s="1511">
        <f t="shared" si="22"/>
        <v>0</v>
      </c>
      <c r="Q51" s="2461">
        <f t="shared" si="22"/>
        <v>0</v>
      </c>
      <c r="R51" s="2462">
        <f t="shared" si="17"/>
        <v>0</v>
      </c>
      <c r="S51" s="1055">
        <f t="shared" si="17"/>
        <v>0</v>
      </c>
      <c r="T51" s="1202">
        <f t="shared" si="17"/>
        <v>0</v>
      </c>
      <c r="U51" s="1202">
        <f t="shared" si="17"/>
        <v>0</v>
      </c>
      <c r="V51" s="1203">
        <f t="shared" si="17"/>
        <v>0</v>
      </c>
    </row>
    <row r="52" spans="1:22" s="65" customFormat="1" ht="15.75" customHeight="1">
      <c r="A52" s="1416"/>
      <c r="B52" s="1417" t="s">
        <v>46</v>
      </c>
      <c r="C52" s="1418">
        <f>SUM(C53:C54)</f>
        <v>0</v>
      </c>
      <c r="D52" s="1419">
        <f>SUM(D53:D54)</f>
        <v>828</v>
      </c>
      <c r="E52" s="2443">
        <f>SUM(E53:E54)</f>
        <v>3319</v>
      </c>
      <c r="F52" s="2444">
        <f>SUM(F53:F54)</f>
        <v>99.98819400000001</v>
      </c>
      <c r="G52" s="2442">
        <f aca="true" t="shared" si="23" ref="G52:Q52">SUM(G53:G54)</f>
        <v>0</v>
      </c>
      <c r="H52" s="1420">
        <f t="shared" si="23"/>
        <v>0</v>
      </c>
      <c r="I52" s="1420">
        <f t="shared" si="23"/>
        <v>0</v>
      </c>
      <c r="J52" s="1420">
        <f t="shared" si="23"/>
        <v>0</v>
      </c>
      <c r="K52" s="1420">
        <f t="shared" si="23"/>
        <v>0</v>
      </c>
      <c r="L52" s="1420">
        <f t="shared" si="23"/>
        <v>0</v>
      </c>
      <c r="M52" s="1420">
        <f t="shared" si="23"/>
        <v>0</v>
      </c>
      <c r="N52" s="1420">
        <f t="shared" si="23"/>
        <v>0</v>
      </c>
      <c r="O52" s="1420">
        <f t="shared" si="23"/>
        <v>0</v>
      </c>
      <c r="P52" s="1796">
        <f t="shared" si="23"/>
        <v>0</v>
      </c>
      <c r="Q52" s="2463">
        <f t="shared" si="23"/>
        <v>0</v>
      </c>
      <c r="R52" s="2464">
        <f>SUM(R53:R54)</f>
        <v>0</v>
      </c>
      <c r="S52" s="2445">
        <f>SUM(S53:S54)</f>
        <v>0</v>
      </c>
      <c r="T52" s="1794">
        <f>SUM(T53:T54)</f>
        <v>0</v>
      </c>
      <c r="U52" s="1794">
        <f>SUM(U53:U54)</f>
        <v>0</v>
      </c>
      <c r="V52" s="1421">
        <f>SUM(V53:V54)</f>
        <v>0</v>
      </c>
    </row>
    <row r="53" spans="1:22" s="6" customFormat="1" ht="15.75" customHeight="1">
      <c r="A53" s="1422"/>
      <c r="B53" s="1423" t="s">
        <v>340</v>
      </c>
      <c r="C53" s="1424"/>
      <c r="D53" s="1425"/>
      <c r="E53" s="772">
        <v>3319</v>
      </c>
      <c r="F53" s="139">
        <f>(E53*30.126)/1000</f>
        <v>99.98819400000001</v>
      </c>
      <c r="G53" s="963"/>
      <c r="H53" s="1426"/>
      <c r="I53" s="1427"/>
      <c r="J53" s="1427"/>
      <c r="K53" s="1427"/>
      <c r="L53" s="1427"/>
      <c r="M53" s="1427"/>
      <c r="N53" s="1427"/>
      <c r="O53" s="1427"/>
      <c r="P53" s="1428"/>
      <c r="Q53" s="2302"/>
      <c r="R53" s="2303"/>
      <c r="S53" s="2291"/>
      <c r="T53" s="249"/>
      <c r="U53" s="249"/>
      <c r="V53" s="304"/>
    </row>
    <row r="54" spans="1:22" s="11" customFormat="1" ht="15.75" customHeight="1" thickBot="1">
      <c r="A54" s="1429"/>
      <c r="B54" s="1430" t="s">
        <v>341</v>
      </c>
      <c r="C54" s="1431"/>
      <c r="D54" s="1432">
        <v>828</v>
      </c>
      <c r="E54" s="1756"/>
      <c r="F54" s="1298"/>
      <c r="G54" s="1433"/>
      <c r="H54" s="1434"/>
      <c r="I54" s="1435"/>
      <c r="J54" s="1435"/>
      <c r="K54" s="1435"/>
      <c r="L54" s="1435"/>
      <c r="M54" s="1435"/>
      <c r="N54" s="1435"/>
      <c r="O54" s="1435"/>
      <c r="P54" s="1436"/>
      <c r="Q54" s="2465"/>
      <c r="R54" s="2466"/>
      <c r="S54" s="2446"/>
      <c r="T54" s="1795"/>
      <c r="U54" s="1795"/>
      <c r="V54" s="1437"/>
    </row>
    <row r="55" spans="1:4" s="6" customFormat="1" ht="19.5" customHeight="1" thickBot="1">
      <c r="A55" s="16"/>
      <c r="C55" s="275"/>
      <c r="D55" s="275"/>
    </row>
    <row r="56" spans="1:22" s="23" customFormat="1" ht="39.75" customHeight="1" thickTop="1">
      <c r="A56" s="2905"/>
      <c r="B56" s="2934"/>
      <c r="C56" s="539" t="s">
        <v>506</v>
      </c>
      <c r="D56" s="2314" t="s">
        <v>507</v>
      </c>
      <c r="E56" s="2839" t="s">
        <v>184</v>
      </c>
      <c r="F56" s="2840"/>
      <c r="G56" s="460" t="s">
        <v>510</v>
      </c>
      <c r="H56" s="496" t="s">
        <v>510</v>
      </c>
      <c r="I56" s="497" t="s">
        <v>87</v>
      </c>
      <c r="J56" s="497" t="s">
        <v>87</v>
      </c>
      <c r="K56" s="2870" t="s">
        <v>509</v>
      </c>
      <c r="L56" s="2870"/>
      <c r="M56" s="2870" t="s">
        <v>508</v>
      </c>
      <c r="N56" s="2870"/>
      <c r="O56" s="498" t="s">
        <v>952</v>
      </c>
      <c r="P56" s="1571" t="s">
        <v>952</v>
      </c>
      <c r="Q56" s="2948" t="s">
        <v>183</v>
      </c>
      <c r="R56" s="2949"/>
      <c r="S56" s="2892" t="s">
        <v>725</v>
      </c>
      <c r="T56" s="2875"/>
      <c r="U56" s="2875" t="s">
        <v>726</v>
      </c>
      <c r="V56" s="2878"/>
    </row>
    <row r="57" spans="1:22" s="24" customFormat="1" ht="15" customHeight="1" thickBot="1">
      <c r="A57" s="2907"/>
      <c r="B57" s="2935"/>
      <c r="C57" s="540" t="s">
        <v>966</v>
      </c>
      <c r="D57" s="2315" t="s">
        <v>966</v>
      </c>
      <c r="E57" s="2318" t="s">
        <v>435</v>
      </c>
      <c r="F57" s="2234" t="s">
        <v>966</v>
      </c>
      <c r="G57" s="461" t="s">
        <v>435</v>
      </c>
      <c r="H57" s="352" t="s">
        <v>966</v>
      </c>
      <c r="I57" s="499" t="s">
        <v>435</v>
      </c>
      <c r="J57" s="499" t="s">
        <v>966</v>
      </c>
      <c r="K57" s="241" t="s">
        <v>435</v>
      </c>
      <c r="L57" s="241" t="s">
        <v>966</v>
      </c>
      <c r="M57" s="241" t="s">
        <v>435</v>
      </c>
      <c r="N57" s="241" t="s">
        <v>966</v>
      </c>
      <c r="O57" s="500" t="s">
        <v>435</v>
      </c>
      <c r="P57" s="1572" t="s">
        <v>966</v>
      </c>
      <c r="Q57" s="2250" t="s">
        <v>435</v>
      </c>
      <c r="R57" s="975" t="s">
        <v>966</v>
      </c>
      <c r="S57" s="797" t="s">
        <v>435</v>
      </c>
      <c r="T57" s="241" t="s">
        <v>966</v>
      </c>
      <c r="U57" s="241" t="s">
        <v>435</v>
      </c>
      <c r="V57" s="796" t="s">
        <v>966</v>
      </c>
    </row>
    <row r="58" spans="1:22" s="23" customFormat="1" ht="19.5" customHeight="1">
      <c r="A58" s="421" t="s">
        <v>360</v>
      </c>
      <c r="B58" s="793" t="s">
        <v>47</v>
      </c>
      <c r="C58" s="541">
        <f aca="true" t="shared" si="24" ref="C58:R58">C4+C46</f>
        <v>87701</v>
      </c>
      <c r="D58" s="1606">
        <f t="shared" si="24"/>
        <v>98646</v>
      </c>
      <c r="E58" s="2319">
        <f t="shared" si="24"/>
        <v>3480808</v>
      </c>
      <c r="F58" s="2320">
        <f t="shared" si="24"/>
        <v>104862.82180800001</v>
      </c>
      <c r="G58" s="493">
        <f t="shared" si="24"/>
        <v>3589410</v>
      </c>
      <c r="H58" s="502">
        <f t="shared" si="24"/>
        <v>108134.56566000004</v>
      </c>
      <c r="I58" s="487">
        <f t="shared" si="24"/>
        <v>3589410</v>
      </c>
      <c r="J58" s="487">
        <f t="shared" si="24"/>
        <v>108134.56566000004</v>
      </c>
      <c r="K58" s="487">
        <f t="shared" si="24"/>
        <v>0</v>
      </c>
      <c r="L58" s="487">
        <f t="shared" si="24"/>
        <v>0</v>
      </c>
      <c r="M58" s="487">
        <f t="shared" si="24"/>
        <v>0</v>
      </c>
      <c r="N58" s="487">
        <f t="shared" si="24"/>
        <v>0</v>
      </c>
      <c r="O58" s="487">
        <f t="shared" si="24"/>
        <v>3555950</v>
      </c>
      <c r="P58" s="1606">
        <f t="shared" si="24"/>
        <v>107126.54970000002</v>
      </c>
      <c r="Q58" s="2389">
        <f t="shared" si="24"/>
        <v>3338275</v>
      </c>
      <c r="R58" s="2390">
        <f t="shared" si="24"/>
        <v>100568.87264999999</v>
      </c>
      <c r="S58" s="541">
        <f>S4+S46</f>
        <v>3405580</v>
      </c>
      <c r="T58" s="487">
        <f>T4+T46</f>
        <v>102596.50308</v>
      </c>
      <c r="U58" s="487">
        <f>U4+U46</f>
        <v>3405580</v>
      </c>
      <c r="V58" s="503">
        <f>V4+V46</f>
        <v>102596.50308</v>
      </c>
    </row>
    <row r="59" spans="1:22" s="30" customFormat="1" ht="15" customHeight="1">
      <c r="A59" s="423"/>
      <c r="B59" s="794" t="s">
        <v>965</v>
      </c>
      <c r="C59" s="542">
        <f aca="true" t="shared" si="25" ref="C59:R59">C5+C49</f>
        <v>87701</v>
      </c>
      <c r="D59" s="1607">
        <f t="shared" si="25"/>
        <v>98646</v>
      </c>
      <c r="E59" s="2321">
        <f t="shared" si="25"/>
        <v>3480808</v>
      </c>
      <c r="F59" s="2322">
        <f t="shared" si="25"/>
        <v>104862.82180800001</v>
      </c>
      <c r="G59" s="494">
        <f t="shared" si="25"/>
        <v>3589410</v>
      </c>
      <c r="H59" s="504">
        <f t="shared" si="25"/>
        <v>108134.56566000004</v>
      </c>
      <c r="I59" s="489">
        <f t="shared" si="25"/>
        <v>3589410</v>
      </c>
      <c r="J59" s="489">
        <f t="shared" si="25"/>
        <v>108134.56566000004</v>
      </c>
      <c r="K59" s="489">
        <f t="shared" si="25"/>
        <v>0</v>
      </c>
      <c r="L59" s="489">
        <f t="shared" si="25"/>
        <v>0</v>
      </c>
      <c r="M59" s="489">
        <f t="shared" si="25"/>
        <v>0</v>
      </c>
      <c r="N59" s="489">
        <f t="shared" si="25"/>
        <v>0</v>
      </c>
      <c r="O59" s="489">
        <f t="shared" si="25"/>
        <v>3555950</v>
      </c>
      <c r="P59" s="1607">
        <f t="shared" si="25"/>
        <v>107126.54970000002</v>
      </c>
      <c r="Q59" s="2419">
        <f t="shared" si="25"/>
        <v>3338275</v>
      </c>
      <c r="R59" s="2420">
        <f t="shared" si="25"/>
        <v>100568.87264999999</v>
      </c>
      <c r="S59" s="542">
        <f>S5+S49</f>
        <v>3405580</v>
      </c>
      <c r="T59" s="489">
        <f>T5+T49</f>
        <v>102596.50308</v>
      </c>
      <c r="U59" s="489">
        <f>U5+U49</f>
        <v>3405580</v>
      </c>
      <c r="V59" s="505">
        <f>V5+V49</f>
        <v>102596.50308</v>
      </c>
    </row>
    <row r="60" spans="1:22" s="30" customFormat="1" ht="15" customHeight="1" thickBot="1">
      <c r="A60" s="485"/>
      <c r="B60" s="795" t="s">
        <v>967</v>
      </c>
      <c r="C60" s="543">
        <v>0</v>
      </c>
      <c r="D60" s="1608">
        <v>0</v>
      </c>
      <c r="E60" s="2323">
        <v>0</v>
      </c>
      <c r="F60" s="2324">
        <v>0</v>
      </c>
      <c r="G60" s="495">
        <v>0</v>
      </c>
      <c r="H60" s="506">
        <v>0</v>
      </c>
      <c r="I60" s="491">
        <v>0</v>
      </c>
      <c r="J60" s="491">
        <v>0</v>
      </c>
      <c r="K60" s="491">
        <v>0</v>
      </c>
      <c r="L60" s="491">
        <v>0</v>
      </c>
      <c r="M60" s="491">
        <v>0</v>
      </c>
      <c r="N60" s="491">
        <v>0</v>
      </c>
      <c r="O60" s="491">
        <v>0</v>
      </c>
      <c r="P60" s="1608">
        <v>0</v>
      </c>
      <c r="Q60" s="2391">
        <v>0</v>
      </c>
      <c r="R60" s="2392">
        <v>0</v>
      </c>
      <c r="S60" s="543">
        <v>0</v>
      </c>
      <c r="T60" s="491">
        <v>0</v>
      </c>
      <c r="U60" s="491">
        <v>0</v>
      </c>
      <c r="V60" s="507">
        <v>0</v>
      </c>
    </row>
  </sheetData>
  <sheetProtection/>
  <mergeCells count="22">
    <mergeCell ref="S44:T44"/>
    <mergeCell ref="S56:T56"/>
    <mergeCell ref="U2:V2"/>
    <mergeCell ref="U44:V44"/>
    <mergeCell ref="U56:V56"/>
    <mergeCell ref="S2:T2"/>
    <mergeCell ref="E2:F2"/>
    <mergeCell ref="E44:F44"/>
    <mergeCell ref="E56:F56"/>
    <mergeCell ref="Q2:R2"/>
    <mergeCell ref="Q44:R44"/>
    <mergeCell ref="Q56:R56"/>
    <mergeCell ref="A56:B57"/>
    <mergeCell ref="D7:D9"/>
    <mergeCell ref="M2:N2"/>
    <mergeCell ref="K2:L2"/>
    <mergeCell ref="A44:B45"/>
    <mergeCell ref="A2:B3"/>
    <mergeCell ref="K56:L56"/>
    <mergeCell ref="M56:N56"/>
    <mergeCell ref="K44:L44"/>
    <mergeCell ref="M44:N44"/>
  </mergeCells>
  <printOptions horizontalCentered="1"/>
  <pageMargins left="0" right="0.7874015748031497" top="1.1023622047244095" bottom="1.1811023622047245" header="0" footer="0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W76"/>
  <sheetViews>
    <sheetView showGridLines="0" zoomScalePageLayoutView="0" workbookViewId="0" topLeftCell="A1">
      <pane xSplit="2" ySplit="3" topLeftCell="E62" activePane="bottomRight" state="frozen"/>
      <selection pane="topLeft" activeCell="A39" sqref="A39:IV39"/>
      <selection pane="topRight" activeCell="A39" sqref="A39:IV39"/>
      <selection pane="bottomLeft" activeCell="A39" sqref="A39:IV39"/>
      <selection pane="bottomRight" activeCell="R4" sqref="R4"/>
    </sheetView>
  </sheetViews>
  <sheetFormatPr defaultColWidth="9.140625" defaultRowHeight="12.75"/>
  <cols>
    <col min="1" max="1" width="7.7109375" style="12" customWidth="1"/>
    <col min="2" max="2" width="60.28125" style="3" customWidth="1"/>
    <col min="3" max="4" width="10.7109375" style="291" hidden="1" customWidth="1"/>
    <col min="5" max="6" width="10.7109375" style="6" customWidth="1"/>
    <col min="7" max="13" width="10.7109375" style="6" hidden="1" customWidth="1"/>
    <col min="14" max="14" width="10.7109375" style="3" hidden="1" customWidth="1"/>
    <col min="15" max="16" width="10.7109375" style="6" hidden="1" customWidth="1"/>
    <col min="17" max="22" width="10.7109375" style="6" customWidth="1"/>
    <col min="23" max="16384" width="9.140625" style="3" customWidth="1"/>
  </cols>
  <sheetData>
    <row r="1" spans="1:18" ht="24.75" customHeight="1" hidden="1" thickBot="1">
      <c r="A1" s="237" t="s">
        <v>1122</v>
      </c>
      <c r="Q1" s="2393"/>
      <c r="R1" s="2394"/>
    </row>
    <row r="2" spans="1:22" s="30" customFormat="1" ht="39.75" customHeight="1">
      <c r="A2" s="2952"/>
      <c r="B2" s="3005"/>
      <c r="C2" s="776" t="s">
        <v>506</v>
      </c>
      <c r="D2" s="452" t="s">
        <v>507</v>
      </c>
      <c r="E2" s="2890" t="s">
        <v>184</v>
      </c>
      <c r="F2" s="2891"/>
      <c r="G2" s="570" t="s">
        <v>510</v>
      </c>
      <c r="H2" s="473" t="s">
        <v>510</v>
      </c>
      <c r="I2" s="474" t="s">
        <v>87</v>
      </c>
      <c r="J2" s="474" t="s">
        <v>87</v>
      </c>
      <c r="K2" s="2871" t="s">
        <v>509</v>
      </c>
      <c r="L2" s="2871"/>
      <c r="M2" s="2871" t="s">
        <v>508</v>
      </c>
      <c r="N2" s="2871"/>
      <c r="O2" s="475" t="s">
        <v>952</v>
      </c>
      <c r="P2" s="767" t="s">
        <v>952</v>
      </c>
      <c r="Q2" s="2876" t="s">
        <v>183</v>
      </c>
      <c r="R2" s="2924"/>
      <c r="S2" s="2880" t="s">
        <v>725</v>
      </c>
      <c r="T2" s="2877"/>
      <c r="U2" s="2877" t="s">
        <v>726</v>
      </c>
      <c r="V2" s="2879"/>
    </row>
    <row r="3" spans="1:22" s="24" customFormat="1" ht="15" customHeight="1" thickBot="1">
      <c r="A3" s="2954"/>
      <c r="B3" s="3006"/>
      <c r="C3" s="777" t="s">
        <v>966</v>
      </c>
      <c r="D3" s="453" t="s">
        <v>966</v>
      </c>
      <c r="E3" s="768" t="s">
        <v>435</v>
      </c>
      <c r="F3" s="307" t="s">
        <v>966</v>
      </c>
      <c r="G3" s="461" t="s">
        <v>435</v>
      </c>
      <c r="H3" s="346" t="s">
        <v>966</v>
      </c>
      <c r="I3" s="450" t="s">
        <v>435</v>
      </c>
      <c r="J3" s="450" t="s">
        <v>966</v>
      </c>
      <c r="K3" s="239" t="s">
        <v>435</v>
      </c>
      <c r="L3" s="239" t="s">
        <v>966</v>
      </c>
      <c r="M3" s="239" t="s">
        <v>435</v>
      </c>
      <c r="N3" s="239" t="s">
        <v>966</v>
      </c>
      <c r="O3" s="451" t="s">
        <v>435</v>
      </c>
      <c r="P3" s="765" t="s">
        <v>966</v>
      </c>
      <c r="Q3" s="238" t="s">
        <v>435</v>
      </c>
      <c r="R3" s="993" t="s">
        <v>966</v>
      </c>
      <c r="S3" s="2117" t="s">
        <v>435</v>
      </c>
      <c r="T3" s="239" t="s">
        <v>966</v>
      </c>
      <c r="U3" s="239" t="s">
        <v>435</v>
      </c>
      <c r="V3" s="307" t="s">
        <v>966</v>
      </c>
    </row>
    <row r="4" spans="1:22" s="23" customFormat="1" ht="19.5" customHeight="1">
      <c r="A4" s="182" t="s">
        <v>361</v>
      </c>
      <c r="B4" s="1829" t="s">
        <v>858</v>
      </c>
      <c r="C4" s="778">
        <f aca="true" t="shared" si="0" ref="C4:V4">C5+C39</f>
        <v>28843</v>
      </c>
      <c r="D4" s="454">
        <f t="shared" si="0"/>
        <v>21231</v>
      </c>
      <c r="E4" s="850">
        <f t="shared" si="0"/>
        <v>559593</v>
      </c>
      <c r="F4" s="665">
        <f t="shared" si="0"/>
        <v>16858.298718</v>
      </c>
      <c r="G4" s="530">
        <f t="shared" si="0"/>
        <v>481317</v>
      </c>
      <c r="H4" s="107">
        <f t="shared" si="0"/>
        <v>14500.155942000001</v>
      </c>
      <c r="I4" s="109">
        <f t="shared" si="0"/>
        <v>469699</v>
      </c>
      <c r="J4" s="109">
        <f t="shared" si="0"/>
        <v>14150.152073999998</v>
      </c>
      <c r="K4" s="109">
        <f t="shared" si="0"/>
        <v>421564</v>
      </c>
      <c r="L4" s="109">
        <f t="shared" si="0"/>
        <v>12700.037064</v>
      </c>
      <c r="M4" s="109">
        <f t="shared" si="0"/>
        <v>599151</v>
      </c>
      <c r="N4" s="109">
        <f t="shared" si="0"/>
        <v>18050.023026000003</v>
      </c>
      <c r="O4" s="109">
        <f t="shared" si="0"/>
        <v>419907</v>
      </c>
      <c r="P4" s="454">
        <f t="shared" si="0"/>
        <v>12650.118281999996</v>
      </c>
      <c r="Q4" s="107">
        <f t="shared" si="0"/>
        <v>481629</v>
      </c>
      <c r="R4" s="108">
        <f t="shared" si="0"/>
        <v>14509.555253999999</v>
      </c>
      <c r="S4" s="778">
        <f t="shared" si="0"/>
        <v>419907</v>
      </c>
      <c r="T4" s="109">
        <f t="shared" si="0"/>
        <v>12650.118282</v>
      </c>
      <c r="U4" s="109">
        <f t="shared" si="0"/>
        <v>419907</v>
      </c>
      <c r="V4" s="665">
        <f t="shared" si="0"/>
        <v>12650.118282</v>
      </c>
    </row>
    <row r="5" spans="1:22" s="30" customFormat="1" ht="19.5" customHeight="1">
      <c r="A5" s="183" t="s">
        <v>859</v>
      </c>
      <c r="B5" s="1830" t="s">
        <v>411</v>
      </c>
      <c r="C5" s="779">
        <f aca="true" t="shared" si="1" ref="C5:V5">C6+C36</f>
        <v>10063</v>
      </c>
      <c r="D5" s="455">
        <f t="shared" si="1"/>
        <v>12244</v>
      </c>
      <c r="E5" s="769">
        <f t="shared" si="1"/>
        <v>390304</v>
      </c>
      <c r="F5" s="479">
        <f t="shared" si="1"/>
        <v>11758.298303999998</v>
      </c>
      <c r="G5" s="463">
        <f t="shared" si="1"/>
        <v>401652</v>
      </c>
      <c r="H5" s="447">
        <f t="shared" si="1"/>
        <v>12100.168152</v>
      </c>
      <c r="I5" s="28">
        <f t="shared" si="1"/>
        <v>390034</v>
      </c>
      <c r="J5" s="28">
        <f t="shared" si="1"/>
        <v>11750.164283999999</v>
      </c>
      <c r="K5" s="28">
        <f t="shared" si="1"/>
        <v>421564</v>
      </c>
      <c r="L5" s="28">
        <f t="shared" si="1"/>
        <v>12700.037064</v>
      </c>
      <c r="M5" s="28">
        <f t="shared" si="1"/>
        <v>466375</v>
      </c>
      <c r="N5" s="28">
        <f t="shared" si="1"/>
        <v>14050.013250000002</v>
      </c>
      <c r="O5" s="28">
        <f t="shared" si="1"/>
        <v>340242</v>
      </c>
      <c r="P5" s="455">
        <f t="shared" si="1"/>
        <v>10250.130491999997</v>
      </c>
      <c r="Q5" s="19">
        <f t="shared" si="1"/>
        <v>331964</v>
      </c>
      <c r="R5" s="17">
        <f t="shared" si="1"/>
        <v>10000.747463999998</v>
      </c>
      <c r="S5" s="779">
        <f t="shared" si="1"/>
        <v>340242</v>
      </c>
      <c r="T5" s="28">
        <f t="shared" si="1"/>
        <v>10250.130492</v>
      </c>
      <c r="U5" s="28">
        <f t="shared" si="1"/>
        <v>340242</v>
      </c>
      <c r="V5" s="479">
        <f t="shared" si="1"/>
        <v>10250.130492</v>
      </c>
    </row>
    <row r="6" spans="1:23" s="30" customFormat="1" ht="19.5" customHeight="1">
      <c r="A6" s="137" t="s">
        <v>860</v>
      </c>
      <c r="B6" s="51" t="s">
        <v>965</v>
      </c>
      <c r="C6" s="780">
        <f>C7+C11+C12+C20+C30+C35+'21'!C13</f>
        <v>9531</v>
      </c>
      <c r="D6" s="456">
        <f>D7+D11+D12+D20+D30+D35+'21'!D13</f>
        <v>10361</v>
      </c>
      <c r="E6" s="770">
        <f>E7+E11+E12+E20+E30+E35</f>
        <v>369391</v>
      </c>
      <c r="F6" s="480">
        <f>F7+F11+F12+F20+F30+F35</f>
        <v>11128.273265999998</v>
      </c>
      <c r="G6" s="464">
        <f>G7+G11+G12+G20+G30+G35+'21'!G13</f>
        <v>383395</v>
      </c>
      <c r="H6" s="20">
        <f>H7+H11+H12+H20+H30+H35+'21'!H13</f>
        <v>11550.15777</v>
      </c>
      <c r="I6" s="29">
        <f>I7+I11+I12+I20+I30+I35+'21'!I13</f>
        <v>371777</v>
      </c>
      <c r="J6" s="29">
        <f>J7+J11+J12+J20+J30+J35+'21'!J13</f>
        <v>11200.153901999998</v>
      </c>
      <c r="K6" s="29">
        <v>404966</v>
      </c>
      <c r="L6" s="29">
        <f>K6*30.126/1000</f>
        <v>12200.005716</v>
      </c>
      <c r="M6" s="29">
        <v>448118</v>
      </c>
      <c r="N6" s="29">
        <f>M6*30.126/1000</f>
        <v>13500.002868000001</v>
      </c>
      <c r="O6" s="29">
        <f>O7+O11+O12+O20+O30+O35+'21'!O13</f>
        <v>335263</v>
      </c>
      <c r="P6" s="456">
        <f>P7+P11+P12+P20+P30+P35+'21'!P13</f>
        <v>10100.133137999997</v>
      </c>
      <c r="Q6" s="20">
        <f>Q7+Q11+Q12+Q20+Q30+Q35</f>
        <v>326985</v>
      </c>
      <c r="R6" s="18">
        <f>R7+R11+R12+R20+R30+R35</f>
        <v>9850.750109999999</v>
      </c>
      <c r="S6" s="780">
        <v>335263</v>
      </c>
      <c r="T6" s="29">
        <f>S6*30.126/1000</f>
        <v>10100.133138000001</v>
      </c>
      <c r="U6" s="29">
        <v>335263</v>
      </c>
      <c r="V6" s="480">
        <f>U6*30.126/1000</f>
        <v>10100.133138000001</v>
      </c>
      <c r="W6" s="2">
        <f>SUM(Q7+Q11+Q12+Q20+Q30+Q35+'21'!Q13)</f>
        <v>340263</v>
      </c>
    </row>
    <row r="7" spans="1:22" s="26" customFormat="1" ht="15" customHeight="1">
      <c r="A7" s="184" t="s">
        <v>886</v>
      </c>
      <c r="B7" s="1831" t="s">
        <v>861</v>
      </c>
      <c r="C7" s="1438">
        <f aca="true" t="shared" si="2" ref="C7:N7">SUM(C8:C10)</f>
        <v>1938</v>
      </c>
      <c r="D7" s="1824">
        <f t="shared" si="2"/>
        <v>1721</v>
      </c>
      <c r="E7" s="2411">
        <f t="shared" si="2"/>
        <v>36514</v>
      </c>
      <c r="F7" s="719">
        <f t="shared" si="2"/>
        <v>1100.0207639999999</v>
      </c>
      <c r="G7" s="731">
        <f t="shared" si="2"/>
        <v>36515</v>
      </c>
      <c r="H7" s="721">
        <f t="shared" si="2"/>
        <v>1100.05089</v>
      </c>
      <c r="I7" s="89">
        <f t="shared" si="2"/>
        <v>36515</v>
      </c>
      <c r="J7" s="89">
        <f t="shared" si="2"/>
        <v>1100.05089</v>
      </c>
      <c r="K7" s="89">
        <f t="shared" si="2"/>
        <v>0</v>
      </c>
      <c r="L7" s="89">
        <f t="shared" si="2"/>
        <v>0</v>
      </c>
      <c r="M7" s="89">
        <f t="shared" si="2"/>
        <v>0</v>
      </c>
      <c r="N7" s="89">
        <f t="shared" si="2"/>
        <v>0</v>
      </c>
      <c r="O7" s="89">
        <f>SUM(O8:O10)</f>
        <v>36515</v>
      </c>
      <c r="P7" s="1824">
        <f>SUM(P8:P10)</f>
        <v>1100.05089</v>
      </c>
      <c r="Q7" s="737">
        <f>SUM(Q8:Q10)</f>
        <v>36515</v>
      </c>
      <c r="R7" s="88">
        <f>SUM(R8:R10)</f>
        <v>1100.05089</v>
      </c>
      <c r="S7" s="1438"/>
      <c r="T7" s="89"/>
      <c r="U7" s="89"/>
      <c r="V7" s="719"/>
    </row>
    <row r="8" spans="1:22" s="26" customFormat="1" ht="15" customHeight="1">
      <c r="A8" s="200"/>
      <c r="B8" s="50" t="s">
        <v>395</v>
      </c>
      <c r="C8" s="883">
        <v>29</v>
      </c>
      <c r="D8" s="2305">
        <v>50</v>
      </c>
      <c r="E8" s="2412">
        <v>1660</v>
      </c>
      <c r="F8" s="324">
        <f>(E8*30.126)/1000</f>
        <v>50.00916</v>
      </c>
      <c r="G8" s="614">
        <v>1660</v>
      </c>
      <c r="H8" s="722">
        <f>G8*30.126/1000</f>
        <v>50.00916</v>
      </c>
      <c r="I8" s="15">
        <v>1660</v>
      </c>
      <c r="J8" s="15">
        <f>I8*30.126/1000</f>
        <v>50.00916</v>
      </c>
      <c r="K8" s="15"/>
      <c r="L8" s="15"/>
      <c r="M8" s="15"/>
      <c r="N8" s="14"/>
      <c r="O8" s="15">
        <v>1660</v>
      </c>
      <c r="P8" s="1524">
        <f>O8*30.126/1000</f>
        <v>50.00916</v>
      </c>
      <c r="Q8" s="36">
        <v>1660</v>
      </c>
      <c r="R8" s="37">
        <f>Q8*30.126/1000</f>
        <v>50.00916</v>
      </c>
      <c r="S8" s="803"/>
      <c r="T8" s="15"/>
      <c r="U8" s="15"/>
      <c r="V8" s="324"/>
    </row>
    <row r="9" spans="1:22" s="26" customFormat="1" ht="15" customHeight="1">
      <c r="A9" s="140"/>
      <c r="B9" s="50" t="s">
        <v>396</v>
      </c>
      <c r="C9" s="883">
        <v>11</v>
      </c>
      <c r="D9" s="2305">
        <v>11</v>
      </c>
      <c r="E9" s="2412">
        <v>1660</v>
      </c>
      <c r="F9" s="324">
        <f>(E9*30.126)/1000</f>
        <v>50.00916</v>
      </c>
      <c r="G9" s="614">
        <v>1660</v>
      </c>
      <c r="H9" s="722">
        <f>G9*30.126/1000</f>
        <v>50.00916</v>
      </c>
      <c r="I9" s="15">
        <v>1660</v>
      </c>
      <c r="J9" s="15">
        <f>I9*30.126/1000</f>
        <v>50.00916</v>
      </c>
      <c r="K9" s="15"/>
      <c r="L9" s="15"/>
      <c r="M9" s="15"/>
      <c r="N9" s="14"/>
      <c r="O9" s="15">
        <v>1660</v>
      </c>
      <c r="P9" s="1524">
        <f>O9*30.126/1000</f>
        <v>50.00916</v>
      </c>
      <c r="Q9" s="36">
        <v>1660</v>
      </c>
      <c r="R9" s="37">
        <f>Q9*30.126/1000</f>
        <v>50.00916</v>
      </c>
      <c r="S9" s="803"/>
      <c r="T9" s="15"/>
      <c r="U9" s="15"/>
      <c r="V9" s="324"/>
    </row>
    <row r="10" spans="1:22" s="26" customFormat="1" ht="15" customHeight="1">
      <c r="A10" s="224"/>
      <c r="B10" s="50" t="s">
        <v>397</v>
      </c>
      <c r="C10" s="883">
        <f>99+1799</f>
        <v>1898</v>
      </c>
      <c r="D10" s="2305">
        <v>1660</v>
      </c>
      <c r="E10" s="2412">
        <v>33194</v>
      </c>
      <c r="F10" s="324">
        <f>(E10*30.126)/1000</f>
        <v>1000.002444</v>
      </c>
      <c r="G10" s="614">
        <v>33195</v>
      </c>
      <c r="H10" s="722">
        <f>G10*30.126/1000</f>
        <v>1000.0325700000001</v>
      </c>
      <c r="I10" s="15">
        <v>33195</v>
      </c>
      <c r="J10" s="15">
        <f>I10*30.126/1000</f>
        <v>1000.0325700000001</v>
      </c>
      <c r="K10" s="15"/>
      <c r="L10" s="15"/>
      <c r="M10" s="15"/>
      <c r="N10" s="14"/>
      <c r="O10" s="15">
        <v>33195</v>
      </c>
      <c r="P10" s="1524">
        <f>O10*30.126/1000</f>
        <v>1000.0325700000001</v>
      </c>
      <c r="Q10" s="36">
        <v>33195</v>
      </c>
      <c r="R10" s="37">
        <f>Q10*30.126/1000</f>
        <v>1000.0325700000001</v>
      </c>
      <c r="S10" s="803"/>
      <c r="T10" s="15"/>
      <c r="U10" s="15"/>
      <c r="V10" s="324"/>
    </row>
    <row r="11" spans="1:22" s="26" customFormat="1" ht="15" customHeight="1">
      <c r="A11" s="187" t="s">
        <v>903</v>
      </c>
      <c r="B11" s="1832" t="s">
        <v>871</v>
      </c>
      <c r="C11" s="1439">
        <v>2285</v>
      </c>
      <c r="D11" s="2410">
        <v>3236</v>
      </c>
      <c r="E11" s="2412">
        <v>166179</v>
      </c>
      <c r="F11" s="324">
        <f>(E11*30.126)/1000</f>
        <v>5006.308554</v>
      </c>
      <c r="G11" s="614">
        <v>165970</v>
      </c>
      <c r="H11" s="722">
        <f>G11*30.126/1000</f>
        <v>5000.01222</v>
      </c>
      <c r="I11" s="15">
        <v>165970</v>
      </c>
      <c r="J11" s="15">
        <f>I11*30.126/1000</f>
        <v>5000.01222</v>
      </c>
      <c r="K11" s="15"/>
      <c r="L11" s="15"/>
      <c r="M11" s="15"/>
      <c r="N11" s="14"/>
      <c r="O11" s="15">
        <v>132776</v>
      </c>
      <c r="P11" s="1524">
        <f>O11*30.126/1000</f>
        <v>4000.009776</v>
      </c>
      <c r="Q11" s="36">
        <v>132776</v>
      </c>
      <c r="R11" s="37">
        <f>Q11*30.126/1000</f>
        <v>4000.009776</v>
      </c>
      <c r="S11" s="803"/>
      <c r="T11" s="15"/>
      <c r="U11" s="15"/>
      <c r="V11" s="324"/>
    </row>
    <row r="12" spans="1:22" s="6" customFormat="1" ht="15" customHeight="1">
      <c r="A12" s="187" t="s">
        <v>904</v>
      </c>
      <c r="B12" s="1833" t="s">
        <v>862</v>
      </c>
      <c r="C12" s="817">
        <f aca="true" t="shared" si="3" ref="C12:R12">SUM(C13:C19)</f>
        <v>1933</v>
      </c>
      <c r="D12" s="1758">
        <f t="shared" si="3"/>
        <v>2130</v>
      </c>
      <c r="E12" s="2413">
        <f t="shared" si="3"/>
        <v>60844</v>
      </c>
      <c r="F12" s="191">
        <f t="shared" si="3"/>
        <v>1832.9863440000001</v>
      </c>
      <c r="G12" s="532">
        <f t="shared" si="3"/>
        <v>62075</v>
      </c>
      <c r="H12" s="666">
        <f t="shared" si="3"/>
        <v>1870.0714500000001</v>
      </c>
      <c r="I12" s="44">
        <f t="shared" si="3"/>
        <v>50457</v>
      </c>
      <c r="J12" s="44">
        <f t="shared" si="3"/>
        <v>1520.0675820000001</v>
      </c>
      <c r="K12" s="44">
        <f t="shared" si="3"/>
        <v>0</v>
      </c>
      <c r="L12" s="44">
        <f t="shared" si="3"/>
        <v>0</v>
      </c>
      <c r="M12" s="44">
        <f t="shared" si="3"/>
        <v>0</v>
      </c>
      <c r="N12" s="44">
        <f t="shared" si="3"/>
        <v>0</v>
      </c>
      <c r="O12" s="44">
        <f t="shared" si="3"/>
        <v>50457</v>
      </c>
      <c r="P12" s="1758">
        <f t="shared" si="3"/>
        <v>1520.0675820000001</v>
      </c>
      <c r="Q12" s="56">
        <f t="shared" si="3"/>
        <v>55457</v>
      </c>
      <c r="R12" s="55">
        <f t="shared" si="3"/>
        <v>1670.6975820000002</v>
      </c>
      <c r="S12" s="817"/>
      <c r="T12" s="44"/>
      <c r="U12" s="44"/>
      <c r="V12" s="191"/>
    </row>
    <row r="13" spans="1:22" s="6" customFormat="1" ht="15" customHeight="1">
      <c r="A13" s="200"/>
      <c r="B13" s="50" t="s">
        <v>596</v>
      </c>
      <c r="C13" s="883">
        <v>922</v>
      </c>
      <c r="D13" s="2305">
        <v>787</v>
      </c>
      <c r="E13" s="2371">
        <v>30206</v>
      </c>
      <c r="F13" s="227">
        <f>(E13*30.126)/1000</f>
        <v>909.985956</v>
      </c>
      <c r="G13" s="563">
        <v>29876</v>
      </c>
      <c r="H13" s="361">
        <f aca="true" t="shared" si="4" ref="H13:H18">G13*30.126/1000</f>
        <v>900.044376</v>
      </c>
      <c r="I13" s="41">
        <v>29876</v>
      </c>
      <c r="J13" s="15">
        <f aca="true" t="shared" si="5" ref="J13:J19">I13*30.126/1000</f>
        <v>900.044376</v>
      </c>
      <c r="K13" s="41"/>
      <c r="L13" s="41"/>
      <c r="M13" s="41"/>
      <c r="N13" s="9"/>
      <c r="O13" s="41">
        <v>29876</v>
      </c>
      <c r="P13" s="1524">
        <f aca="true" t="shared" si="6" ref="P13:R19">O13*30.126/1000</f>
        <v>900.044376</v>
      </c>
      <c r="Q13" s="43">
        <v>29876</v>
      </c>
      <c r="R13" s="37">
        <f t="shared" si="6"/>
        <v>900.044376</v>
      </c>
      <c r="S13" s="930"/>
      <c r="T13" s="15"/>
      <c r="U13" s="41"/>
      <c r="V13" s="324"/>
    </row>
    <row r="14" spans="1:22" s="6" customFormat="1" ht="15" customHeight="1">
      <c r="A14" s="140"/>
      <c r="B14" s="50" t="s">
        <v>594</v>
      </c>
      <c r="C14" s="883">
        <v>397</v>
      </c>
      <c r="D14" s="2305">
        <v>517</v>
      </c>
      <c r="E14" s="2371">
        <v>8564</v>
      </c>
      <c r="F14" s="227">
        <f aca="true" t="shared" si="7" ref="F14:F19">(E14*30.126)/1000</f>
        <v>257.99906400000003</v>
      </c>
      <c r="G14" s="563">
        <v>11618</v>
      </c>
      <c r="H14" s="361">
        <f t="shared" si="4"/>
        <v>350.003868</v>
      </c>
      <c r="I14" s="41">
        <v>6639</v>
      </c>
      <c r="J14" s="15">
        <f t="shared" si="5"/>
        <v>200.00651399999998</v>
      </c>
      <c r="K14" s="41"/>
      <c r="L14" s="41"/>
      <c r="M14" s="41"/>
      <c r="N14" s="9"/>
      <c r="O14" s="41">
        <v>6639</v>
      </c>
      <c r="P14" s="1524">
        <f t="shared" si="6"/>
        <v>200.00651399999998</v>
      </c>
      <c r="Q14" s="43">
        <v>9639</v>
      </c>
      <c r="R14" s="37">
        <f t="shared" si="6"/>
        <v>290.384514</v>
      </c>
      <c r="S14" s="930"/>
      <c r="T14" s="15"/>
      <c r="U14" s="41"/>
      <c r="V14" s="324"/>
    </row>
    <row r="15" spans="1:22" s="6" customFormat="1" ht="15" customHeight="1">
      <c r="A15" s="140"/>
      <c r="B15" s="50" t="s">
        <v>595</v>
      </c>
      <c r="C15" s="883">
        <v>77</v>
      </c>
      <c r="D15" s="2305">
        <v>192</v>
      </c>
      <c r="E15" s="2371">
        <v>3319</v>
      </c>
      <c r="F15" s="227">
        <f t="shared" si="7"/>
        <v>99.98819400000001</v>
      </c>
      <c r="G15" s="563">
        <v>1660</v>
      </c>
      <c r="H15" s="361">
        <f t="shared" si="4"/>
        <v>50.00916</v>
      </c>
      <c r="I15" s="41">
        <v>1660</v>
      </c>
      <c r="J15" s="15">
        <f t="shared" si="5"/>
        <v>50.00916</v>
      </c>
      <c r="K15" s="41"/>
      <c r="L15" s="41"/>
      <c r="M15" s="41"/>
      <c r="N15" s="9"/>
      <c r="O15" s="41">
        <v>1660</v>
      </c>
      <c r="P15" s="1524">
        <f t="shared" si="6"/>
        <v>50.00916</v>
      </c>
      <c r="Q15" s="43">
        <v>3660</v>
      </c>
      <c r="R15" s="37">
        <f t="shared" si="6"/>
        <v>110.26116</v>
      </c>
      <c r="S15" s="930"/>
      <c r="T15" s="15"/>
      <c r="U15" s="41"/>
      <c r="V15" s="324"/>
    </row>
    <row r="16" spans="1:22" s="6" customFormat="1" ht="15" customHeight="1">
      <c r="A16" s="225"/>
      <c r="B16" s="50" t="s">
        <v>888</v>
      </c>
      <c r="C16" s="883">
        <v>348</v>
      </c>
      <c r="D16" s="2305">
        <v>327</v>
      </c>
      <c r="E16" s="2371">
        <v>10290</v>
      </c>
      <c r="F16" s="227">
        <f t="shared" si="7"/>
        <v>309.99654000000004</v>
      </c>
      <c r="G16" s="563">
        <v>11618</v>
      </c>
      <c r="H16" s="361">
        <f t="shared" si="4"/>
        <v>350.003868</v>
      </c>
      <c r="I16" s="41">
        <v>4979</v>
      </c>
      <c r="J16" s="15">
        <f t="shared" si="5"/>
        <v>149.997354</v>
      </c>
      <c r="K16" s="41"/>
      <c r="L16" s="41"/>
      <c r="M16" s="41"/>
      <c r="N16" s="9"/>
      <c r="O16" s="41">
        <v>4979</v>
      </c>
      <c r="P16" s="1524">
        <f t="shared" si="6"/>
        <v>149.997354</v>
      </c>
      <c r="Q16" s="43">
        <v>4979</v>
      </c>
      <c r="R16" s="37">
        <f t="shared" si="6"/>
        <v>149.997354</v>
      </c>
      <c r="S16" s="930"/>
      <c r="T16" s="15"/>
      <c r="U16" s="41"/>
      <c r="V16" s="324"/>
    </row>
    <row r="17" spans="1:22" s="6" customFormat="1" ht="15" customHeight="1">
      <c r="A17" s="225"/>
      <c r="B17" s="50" t="s">
        <v>889</v>
      </c>
      <c r="C17" s="883">
        <v>12</v>
      </c>
      <c r="D17" s="2305">
        <v>30</v>
      </c>
      <c r="E17" s="2371">
        <v>1162</v>
      </c>
      <c r="F17" s="227">
        <f t="shared" si="7"/>
        <v>35.006412000000005</v>
      </c>
      <c r="G17" s="563">
        <v>1660</v>
      </c>
      <c r="H17" s="361">
        <f t="shared" si="4"/>
        <v>50.00916</v>
      </c>
      <c r="I17" s="41">
        <v>1660</v>
      </c>
      <c r="J17" s="15">
        <f t="shared" si="5"/>
        <v>50.00916</v>
      </c>
      <c r="K17" s="41"/>
      <c r="L17" s="41"/>
      <c r="M17" s="41"/>
      <c r="N17" s="9"/>
      <c r="O17" s="41">
        <v>1660</v>
      </c>
      <c r="P17" s="1524">
        <f t="shared" si="6"/>
        <v>50.00916</v>
      </c>
      <c r="Q17" s="43">
        <v>1660</v>
      </c>
      <c r="R17" s="37">
        <f t="shared" si="6"/>
        <v>50.00916</v>
      </c>
      <c r="S17" s="930"/>
      <c r="T17" s="15"/>
      <c r="U17" s="41"/>
      <c r="V17" s="324"/>
    </row>
    <row r="18" spans="1:22" s="6" customFormat="1" ht="15" customHeight="1">
      <c r="A18" s="225"/>
      <c r="B18" s="50" t="s">
        <v>890</v>
      </c>
      <c r="C18" s="883">
        <v>160</v>
      </c>
      <c r="D18" s="2305">
        <v>170</v>
      </c>
      <c r="E18" s="2371">
        <v>5643</v>
      </c>
      <c r="F18" s="227">
        <f t="shared" si="7"/>
        <v>170.00101800000002</v>
      </c>
      <c r="G18" s="563">
        <v>5643</v>
      </c>
      <c r="H18" s="361">
        <f t="shared" si="4"/>
        <v>170.00101800000002</v>
      </c>
      <c r="I18" s="41">
        <v>5643</v>
      </c>
      <c r="J18" s="15">
        <f t="shared" si="5"/>
        <v>170.00101800000002</v>
      </c>
      <c r="K18" s="41"/>
      <c r="L18" s="41"/>
      <c r="M18" s="41"/>
      <c r="N18" s="9"/>
      <c r="O18" s="41">
        <v>5643</v>
      </c>
      <c r="P18" s="1524">
        <f t="shared" si="6"/>
        <v>170.00101800000002</v>
      </c>
      <c r="Q18" s="43">
        <v>5643</v>
      </c>
      <c r="R18" s="37">
        <f t="shared" si="6"/>
        <v>170.00101800000002</v>
      </c>
      <c r="S18" s="930"/>
      <c r="T18" s="15"/>
      <c r="U18" s="41"/>
      <c r="V18" s="324"/>
    </row>
    <row r="19" spans="1:22" s="6" customFormat="1" ht="15" customHeight="1">
      <c r="A19" s="226"/>
      <c r="B19" s="50" t="s">
        <v>891</v>
      </c>
      <c r="C19" s="883">
        <v>17</v>
      </c>
      <c r="D19" s="2305">
        <v>107</v>
      </c>
      <c r="E19" s="2371">
        <v>1660</v>
      </c>
      <c r="F19" s="227">
        <f t="shared" si="7"/>
        <v>50.00916</v>
      </c>
      <c r="G19" s="563"/>
      <c r="H19" s="361"/>
      <c r="I19" s="41"/>
      <c r="J19" s="15">
        <f t="shared" si="5"/>
        <v>0</v>
      </c>
      <c r="K19" s="41"/>
      <c r="L19" s="41"/>
      <c r="M19" s="41"/>
      <c r="N19" s="9"/>
      <c r="O19" s="41"/>
      <c r="P19" s="1524">
        <f t="shared" si="6"/>
        <v>0</v>
      </c>
      <c r="Q19" s="43"/>
      <c r="R19" s="37"/>
      <c r="S19" s="930"/>
      <c r="T19" s="15"/>
      <c r="U19" s="41"/>
      <c r="V19" s="324"/>
    </row>
    <row r="20" spans="1:22" s="6" customFormat="1" ht="15" customHeight="1">
      <c r="A20" s="187" t="s">
        <v>905</v>
      </c>
      <c r="B20" s="1833" t="s">
        <v>867</v>
      </c>
      <c r="C20" s="1440">
        <f aca="true" t="shared" si="8" ref="C20:N20">SUM(C21:C29)</f>
        <v>1468</v>
      </c>
      <c r="D20" s="1825">
        <f t="shared" si="8"/>
        <v>1796</v>
      </c>
      <c r="E20" s="2414">
        <f t="shared" si="8"/>
        <v>61740</v>
      </c>
      <c r="F20" s="720">
        <f t="shared" si="8"/>
        <v>1859.97924</v>
      </c>
      <c r="G20" s="732">
        <f t="shared" si="8"/>
        <v>54438</v>
      </c>
      <c r="H20" s="723">
        <f t="shared" si="8"/>
        <v>1639.999188</v>
      </c>
      <c r="I20" s="82">
        <f t="shared" si="8"/>
        <v>54438</v>
      </c>
      <c r="J20" s="82">
        <f t="shared" si="8"/>
        <v>1639.999188</v>
      </c>
      <c r="K20" s="82">
        <f t="shared" si="8"/>
        <v>0</v>
      </c>
      <c r="L20" s="82">
        <f t="shared" si="8"/>
        <v>0</v>
      </c>
      <c r="M20" s="82">
        <f t="shared" si="8"/>
        <v>0</v>
      </c>
      <c r="N20" s="82">
        <f t="shared" si="8"/>
        <v>0</v>
      </c>
      <c r="O20" s="82">
        <f>SUM(O21:O29)</f>
        <v>54438</v>
      </c>
      <c r="P20" s="1825">
        <f>SUM(P21:P29)</f>
        <v>1639.999188</v>
      </c>
      <c r="Q20" s="84">
        <f>SUM(Q21:Q29)</f>
        <v>54438</v>
      </c>
      <c r="R20" s="83">
        <f>SUM(R21:R29)</f>
        <v>1639.999188</v>
      </c>
      <c r="S20" s="1440"/>
      <c r="T20" s="82"/>
      <c r="U20" s="82"/>
      <c r="V20" s="720"/>
    </row>
    <row r="21" spans="1:22" s="6" customFormat="1" ht="15" customHeight="1">
      <c r="A21" s="200"/>
      <c r="B21" s="50" t="s">
        <v>892</v>
      </c>
      <c r="C21" s="883">
        <v>149</v>
      </c>
      <c r="D21" s="2305">
        <v>245</v>
      </c>
      <c r="E21" s="2371">
        <v>9626</v>
      </c>
      <c r="F21" s="227">
        <f>(E21*30.126)/1000</f>
        <v>289.99287599999997</v>
      </c>
      <c r="G21" s="563">
        <v>8796</v>
      </c>
      <c r="H21" s="361">
        <f>G21*30.126/1000</f>
        <v>264.98829600000005</v>
      </c>
      <c r="I21" s="41">
        <v>8796</v>
      </c>
      <c r="J21" s="15">
        <f aca="true" t="shared" si="9" ref="J21:J29">I21*30.126/1000</f>
        <v>264.98829600000005</v>
      </c>
      <c r="K21" s="41"/>
      <c r="L21" s="41"/>
      <c r="M21" s="41"/>
      <c r="N21" s="9"/>
      <c r="O21" s="41">
        <v>8796</v>
      </c>
      <c r="P21" s="1524">
        <f aca="true" t="shared" si="10" ref="P21:R29">O21*30.126/1000</f>
        <v>264.98829600000005</v>
      </c>
      <c r="Q21" s="43">
        <v>8796</v>
      </c>
      <c r="R21" s="37">
        <f t="shared" si="10"/>
        <v>264.98829600000005</v>
      </c>
      <c r="S21" s="930"/>
      <c r="T21" s="15"/>
      <c r="U21" s="41"/>
      <c r="V21" s="324"/>
    </row>
    <row r="22" spans="1:22" s="6" customFormat="1" ht="15" customHeight="1">
      <c r="A22" s="190"/>
      <c r="B22" s="50" t="s">
        <v>893</v>
      </c>
      <c r="C22" s="883">
        <v>778</v>
      </c>
      <c r="D22" s="2305">
        <v>629</v>
      </c>
      <c r="E22" s="2371">
        <v>31534</v>
      </c>
      <c r="F22" s="227">
        <f>(E22*30.126)/1000</f>
        <v>949.993284</v>
      </c>
      <c r="G22" s="563">
        <v>28215</v>
      </c>
      <c r="H22" s="361">
        <f aca="true" t="shared" si="11" ref="H22:H27">G22*30.126/1000</f>
        <v>850.0050900000001</v>
      </c>
      <c r="I22" s="41">
        <v>28215</v>
      </c>
      <c r="J22" s="15">
        <f t="shared" si="9"/>
        <v>850.0050900000001</v>
      </c>
      <c r="K22" s="41"/>
      <c r="L22" s="41"/>
      <c r="M22" s="41"/>
      <c r="N22" s="9"/>
      <c r="O22" s="41">
        <v>28215</v>
      </c>
      <c r="P22" s="1524">
        <f t="shared" si="10"/>
        <v>850.0050900000001</v>
      </c>
      <c r="Q22" s="43">
        <v>28215</v>
      </c>
      <c r="R22" s="37">
        <f t="shared" si="10"/>
        <v>850.0050900000001</v>
      </c>
      <c r="S22" s="930"/>
      <c r="T22" s="15"/>
      <c r="U22" s="41"/>
      <c r="V22" s="324"/>
    </row>
    <row r="23" spans="1:22" s="6" customFormat="1" ht="15" customHeight="1">
      <c r="A23" s="140"/>
      <c r="B23" s="50" t="s">
        <v>894</v>
      </c>
      <c r="C23" s="883">
        <v>279</v>
      </c>
      <c r="D23" s="2305">
        <v>497</v>
      </c>
      <c r="E23" s="2371">
        <v>9958</v>
      </c>
      <c r="F23" s="227">
        <f>(E23*30.126)/1000</f>
        <v>299.994708</v>
      </c>
      <c r="G23" s="563">
        <v>9958</v>
      </c>
      <c r="H23" s="361">
        <f t="shared" si="11"/>
        <v>299.994708</v>
      </c>
      <c r="I23" s="41">
        <v>9958</v>
      </c>
      <c r="J23" s="15">
        <f t="shared" si="9"/>
        <v>299.994708</v>
      </c>
      <c r="K23" s="41"/>
      <c r="L23" s="41"/>
      <c r="M23" s="41"/>
      <c r="N23" s="9"/>
      <c r="O23" s="41">
        <v>9958</v>
      </c>
      <c r="P23" s="1524">
        <f t="shared" si="10"/>
        <v>299.994708</v>
      </c>
      <c r="Q23" s="43">
        <v>9958</v>
      </c>
      <c r="R23" s="37">
        <f t="shared" si="10"/>
        <v>299.994708</v>
      </c>
      <c r="S23" s="930"/>
      <c r="T23" s="15"/>
      <c r="U23" s="41"/>
      <c r="V23" s="324"/>
    </row>
    <row r="24" spans="1:22" s="6" customFormat="1" ht="15" customHeight="1">
      <c r="A24" s="140"/>
      <c r="B24" s="50" t="s">
        <v>895</v>
      </c>
      <c r="C24" s="883">
        <v>9</v>
      </c>
      <c r="D24" s="2305">
        <v>30</v>
      </c>
      <c r="E24" s="2371">
        <v>498</v>
      </c>
      <c r="F24" s="227">
        <f>(E24*30.126)/1000</f>
        <v>15.002748000000002</v>
      </c>
      <c r="G24" s="563">
        <v>498</v>
      </c>
      <c r="H24" s="361">
        <f t="shared" si="11"/>
        <v>15.002748000000002</v>
      </c>
      <c r="I24" s="41">
        <v>498</v>
      </c>
      <c r="J24" s="15">
        <f t="shared" si="9"/>
        <v>15.002748000000002</v>
      </c>
      <c r="K24" s="41"/>
      <c r="L24" s="41"/>
      <c r="M24" s="41"/>
      <c r="N24" s="9"/>
      <c r="O24" s="41">
        <v>498</v>
      </c>
      <c r="P24" s="1524">
        <f t="shared" si="10"/>
        <v>15.002748000000002</v>
      </c>
      <c r="Q24" s="43">
        <v>498</v>
      </c>
      <c r="R24" s="37">
        <f t="shared" si="10"/>
        <v>15.002748000000002</v>
      </c>
      <c r="S24" s="930"/>
      <c r="T24" s="15"/>
      <c r="U24" s="41"/>
      <c r="V24" s="324"/>
    </row>
    <row r="25" spans="1:22" s="6" customFormat="1" ht="15" customHeight="1">
      <c r="A25" s="196"/>
      <c r="B25" s="50" t="s">
        <v>896</v>
      </c>
      <c r="C25" s="883">
        <v>70</v>
      </c>
      <c r="D25" s="2305">
        <v>245</v>
      </c>
      <c r="E25" s="2371">
        <v>6639</v>
      </c>
      <c r="F25" s="227">
        <f>(E25*30.126)/1000</f>
        <v>200.00651399999998</v>
      </c>
      <c r="G25" s="563">
        <v>6639</v>
      </c>
      <c r="H25" s="361">
        <f t="shared" si="11"/>
        <v>200.00651399999998</v>
      </c>
      <c r="I25" s="41">
        <v>6639</v>
      </c>
      <c r="J25" s="15">
        <f t="shared" si="9"/>
        <v>200.00651399999998</v>
      </c>
      <c r="K25" s="41"/>
      <c r="L25" s="41"/>
      <c r="M25" s="41"/>
      <c r="N25" s="9"/>
      <c r="O25" s="41">
        <v>6639</v>
      </c>
      <c r="P25" s="1524">
        <f t="shared" si="10"/>
        <v>200.00651399999998</v>
      </c>
      <c r="Q25" s="43">
        <v>6639</v>
      </c>
      <c r="R25" s="37">
        <f t="shared" si="10"/>
        <v>200.00651399999998</v>
      </c>
      <c r="S25" s="930"/>
      <c r="T25" s="15"/>
      <c r="U25" s="41"/>
      <c r="V25" s="324"/>
    </row>
    <row r="26" spans="1:22" s="6" customFormat="1" ht="15" customHeight="1" hidden="1">
      <c r="A26" s="196"/>
      <c r="B26" s="50" t="s">
        <v>664</v>
      </c>
      <c r="C26" s="883">
        <v>8</v>
      </c>
      <c r="D26" s="2305"/>
      <c r="E26" s="2371"/>
      <c r="F26" s="227"/>
      <c r="G26" s="733"/>
      <c r="H26" s="361">
        <f t="shared" si="11"/>
        <v>0</v>
      </c>
      <c r="I26" s="724"/>
      <c r="J26" s="15">
        <f t="shared" si="9"/>
        <v>0</v>
      </c>
      <c r="K26" s="724"/>
      <c r="L26" s="724"/>
      <c r="M26" s="724"/>
      <c r="N26" s="33"/>
      <c r="O26" s="724"/>
      <c r="P26" s="1524">
        <f t="shared" si="10"/>
        <v>0</v>
      </c>
      <c r="Q26" s="1827"/>
      <c r="R26" s="37">
        <f t="shared" si="10"/>
        <v>0</v>
      </c>
      <c r="S26" s="2416"/>
      <c r="T26" s="15"/>
      <c r="U26" s="724"/>
      <c r="V26" s="324"/>
    </row>
    <row r="27" spans="1:22" s="6" customFormat="1" ht="15" customHeight="1">
      <c r="A27" s="196"/>
      <c r="B27" s="50" t="s">
        <v>663</v>
      </c>
      <c r="C27" s="883">
        <v>76</v>
      </c>
      <c r="D27" s="2305">
        <v>45</v>
      </c>
      <c r="E27" s="2371"/>
      <c r="F27" s="227"/>
      <c r="G27" s="733">
        <v>332</v>
      </c>
      <c r="H27" s="361">
        <f t="shared" si="11"/>
        <v>10.001832</v>
      </c>
      <c r="I27" s="724">
        <v>332</v>
      </c>
      <c r="J27" s="15">
        <f t="shared" si="9"/>
        <v>10.001832</v>
      </c>
      <c r="K27" s="724"/>
      <c r="L27" s="724"/>
      <c r="M27" s="724"/>
      <c r="N27" s="33"/>
      <c r="O27" s="724">
        <v>332</v>
      </c>
      <c r="P27" s="1524">
        <f t="shared" si="10"/>
        <v>10.001832</v>
      </c>
      <c r="Q27" s="1827">
        <v>332</v>
      </c>
      <c r="R27" s="37">
        <f t="shared" si="10"/>
        <v>10.001832</v>
      </c>
      <c r="S27" s="2416"/>
      <c r="T27" s="15"/>
      <c r="U27" s="724"/>
      <c r="V27" s="324"/>
    </row>
    <row r="28" spans="1:22" s="6" customFormat="1" ht="15" customHeight="1">
      <c r="A28" s="196"/>
      <c r="B28" s="50" t="s">
        <v>897</v>
      </c>
      <c r="C28" s="883">
        <v>80</v>
      </c>
      <c r="D28" s="3002">
        <v>105</v>
      </c>
      <c r="E28" s="3003">
        <v>3485</v>
      </c>
      <c r="F28" s="3004">
        <f>(E28*30.126)/1000</f>
        <v>104.98911</v>
      </c>
      <c r="G28" s="734"/>
      <c r="H28" s="725"/>
      <c r="I28" s="2998"/>
      <c r="J28" s="15">
        <f t="shared" si="9"/>
        <v>0</v>
      </c>
      <c r="K28" s="726"/>
      <c r="L28" s="726"/>
      <c r="M28" s="2998"/>
      <c r="N28" s="2998"/>
      <c r="O28" s="2998"/>
      <c r="P28" s="1524">
        <f t="shared" si="10"/>
        <v>0</v>
      </c>
      <c r="Q28" s="36"/>
      <c r="R28" s="37"/>
      <c r="S28" s="3000"/>
      <c r="T28" s="15"/>
      <c r="U28" s="2998"/>
      <c r="V28" s="324"/>
    </row>
    <row r="29" spans="1:22" s="6" customFormat="1" ht="15" customHeight="1">
      <c r="A29" s="196"/>
      <c r="B29" s="50" t="s">
        <v>898</v>
      </c>
      <c r="C29" s="883">
        <v>19</v>
      </c>
      <c r="D29" s="3002"/>
      <c r="E29" s="3003"/>
      <c r="F29" s="3004"/>
      <c r="G29" s="735"/>
      <c r="H29" s="727"/>
      <c r="I29" s="2999"/>
      <c r="J29" s="15">
        <f t="shared" si="9"/>
        <v>0</v>
      </c>
      <c r="K29" s="728"/>
      <c r="L29" s="728"/>
      <c r="M29" s="2999"/>
      <c r="N29" s="2999"/>
      <c r="O29" s="2999"/>
      <c r="P29" s="1524">
        <f t="shared" si="10"/>
        <v>0</v>
      </c>
      <c r="Q29" s="36"/>
      <c r="R29" s="37"/>
      <c r="S29" s="3001"/>
      <c r="T29" s="15"/>
      <c r="U29" s="2999"/>
      <c r="V29" s="324"/>
    </row>
    <row r="30" spans="1:22" s="6" customFormat="1" ht="15" customHeight="1">
      <c r="A30" s="187" t="s">
        <v>906</v>
      </c>
      <c r="B30" s="1833" t="s">
        <v>868</v>
      </c>
      <c r="C30" s="883">
        <f aca="true" t="shared" si="12" ref="C30:N30">SUM(C31:C34)</f>
        <v>1502</v>
      </c>
      <c r="D30" s="2305">
        <f t="shared" si="12"/>
        <v>1099</v>
      </c>
      <c r="E30" s="2371">
        <f t="shared" si="12"/>
        <v>42454</v>
      </c>
      <c r="F30" s="227">
        <f t="shared" si="12"/>
        <v>1278.969204</v>
      </c>
      <c r="G30" s="563">
        <f t="shared" si="12"/>
        <v>49459</v>
      </c>
      <c r="H30" s="361">
        <f t="shared" si="12"/>
        <v>1490.001834</v>
      </c>
      <c r="I30" s="41">
        <f t="shared" si="12"/>
        <v>49459</v>
      </c>
      <c r="J30" s="41">
        <f t="shared" si="12"/>
        <v>1490.001834</v>
      </c>
      <c r="K30" s="41">
        <f t="shared" si="12"/>
        <v>0</v>
      </c>
      <c r="L30" s="41">
        <f t="shared" si="12"/>
        <v>0</v>
      </c>
      <c r="M30" s="41">
        <f t="shared" si="12"/>
        <v>0</v>
      </c>
      <c r="N30" s="41">
        <f t="shared" si="12"/>
        <v>0</v>
      </c>
      <c r="O30" s="41">
        <f>SUM(O31:O34)</f>
        <v>46139</v>
      </c>
      <c r="P30" s="1582">
        <f>SUM(P31:P34)</f>
        <v>1389.983514</v>
      </c>
      <c r="Q30" s="43">
        <f>SUM(Q31:Q34)</f>
        <v>46139</v>
      </c>
      <c r="R30" s="42">
        <f>SUM(R31:R34)</f>
        <v>1389.983514</v>
      </c>
      <c r="S30" s="930"/>
      <c r="T30" s="41"/>
      <c r="U30" s="41"/>
      <c r="V30" s="227"/>
    </row>
    <row r="31" spans="1:22" s="6" customFormat="1" ht="15" customHeight="1">
      <c r="A31" s="200"/>
      <c r="B31" s="50" t="s">
        <v>899</v>
      </c>
      <c r="C31" s="883">
        <v>481</v>
      </c>
      <c r="D31" s="2305">
        <v>462</v>
      </c>
      <c r="E31" s="2371">
        <v>16929</v>
      </c>
      <c r="F31" s="227">
        <f>(E31*30.126)/1000</f>
        <v>510.003054</v>
      </c>
      <c r="G31" s="563">
        <v>16597</v>
      </c>
      <c r="H31" s="361">
        <f>G31*30.126/1000</f>
        <v>500.001222</v>
      </c>
      <c r="I31" s="41">
        <v>16597</v>
      </c>
      <c r="J31" s="15">
        <f>I31*30.126/1000</f>
        <v>500.001222</v>
      </c>
      <c r="K31" s="41"/>
      <c r="L31" s="41"/>
      <c r="M31" s="41"/>
      <c r="N31" s="9"/>
      <c r="O31" s="41">
        <v>16597</v>
      </c>
      <c r="P31" s="1524">
        <f>O31*30.126/1000</f>
        <v>500.001222</v>
      </c>
      <c r="Q31" s="43">
        <v>16597</v>
      </c>
      <c r="R31" s="37">
        <f>Q31*30.126/1000</f>
        <v>500.001222</v>
      </c>
      <c r="S31" s="930"/>
      <c r="T31" s="15"/>
      <c r="U31" s="41"/>
      <c r="V31" s="324"/>
    </row>
    <row r="32" spans="1:22" s="6" customFormat="1" ht="15" customHeight="1">
      <c r="A32" s="140"/>
      <c r="B32" s="50" t="s">
        <v>900</v>
      </c>
      <c r="C32" s="883">
        <v>500</v>
      </c>
      <c r="D32" s="2305">
        <v>130</v>
      </c>
      <c r="E32" s="2371">
        <v>7601</v>
      </c>
      <c r="F32" s="227">
        <f>(E32*30.126)/1000</f>
        <v>228.987726</v>
      </c>
      <c r="G32" s="563">
        <v>13278</v>
      </c>
      <c r="H32" s="361">
        <f>G32*30.126/1000</f>
        <v>400.01302799999996</v>
      </c>
      <c r="I32" s="41">
        <v>13278</v>
      </c>
      <c r="J32" s="15">
        <f>I32*30.126/1000</f>
        <v>400.01302799999996</v>
      </c>
      <c r="K32" s="41"/>
      <c r="L32" s="41"/>
      <c r="M32" s="41"/>
      <c r="N32" s="9"/>
      <c r="O32" s="41">
        <v>9958</v>
      </c>
      <c r="P32" s="1524">
        <f>O32*30.126/1000</f>
        <v>299.994708</v>
      </c>
      <c r="Q32" s="43">
        <v>9958</v>
      </c>
      <c r="R32" s="37">
        <f>Q32*30.126/1000</f>
        <v>299.994708</v>
      </c>
      <c r="S32" s="930"/>
      <c r="T32" s="15"/>
      <c r="U32" s="41"/>
      <c r="V32" s="324"/>
    </row>
    <row r="33" spans="1:22" s="6" customFormat="1" ht="15" customHeight="1">
      <c r="A33" s="140"/>
      <c r="B33" s="50" t="s">
        <v>901</v>
      </c>
      <c r="C33" s="883">
        <v>80</v>
      </c>
      <c r="D33" s="2305">
        <v>90</v>
      </c>
      <c r="E33" s="2371">
        <v>2987</v>
      </c>
      <c r="F33" s="227">
        <f>(E33*30.126)/1000</f>
        <v>89.98636200000001</v>
      </c>
      <c r="G33" s="563">
        <v>2987</v>
      </c>
      <c r="H33" s="361">
        <f>G33*30.126/1000</f>
        <v>89.98636200000001</v>
      </c>
      <c r="I33" s="41">
        <v>2987</v>
      </c>
      <c r="J33" s="15">
        <f>I33*30.126/1000</f>
        <v>89.98636200000001</v>
      </c>
      <c r="K33" s="41"/>
      <c r="L33" s="41"/>
      <c r="M33" s="41"/>
      <c r="N33" s="9"/>
      <c r="O33" s="41">
        <v>2987</v>
      </c>
      <c r="P33" s="1524">
        <f>O33*30.126/1000</f>
        <v>89.98636200000001</v>
      </c>
      <c r="Q33" s="43">
        <v>2987</v>
      </c>
      <c r="R33" s="37">
        <f>Q33*30.126/1000</f>
        <v>89.98636200000001</v>
      </c>
      <c r="S33" s="930"/>
      <c r="T33" s="15"/>
      <c r="U33" s="41"/>
      <c r="V33" s="324"/>
    </row>
    <row r="34" spans="1:22" s="6" customFormat="1" ht="15" customHeight="1">
      <c r="A34" s="197"/>
      <c r="B34" s="50" t="s">
        <v>902</v>
      </c>
      <c r="C34" s="883">
        <v>441</v>
      </c>
      <c r="D34" s="2305">
        <v>417</v>
      </c>
      <c r="E34" s="2371">
        <v>14937</v>
      </c>
      <c r="F34" s="227">
        <f>(E34*30.126)/1000</f>
        <v>449.99206200000003</v>
      </c>
      <c r="G34" s="563">
        <v>16597</v>
      </c>
      <c r="H34" s="361">
        <f>G34*30.126/1000</f>
        <v>500.001222</v>
      </c>
      <c r="I34" s="41">
        <v>16597</v>
      </c>
      <c r="J34" s="15">
        <f>I34*30.126/1000</f>
        <v>500.001222</v>
      </c>
      <c r="K34" s="41"/>
      <c r="L34" s="41"/>
      <c r="M34" s="41"/>
      <c r="N34" s="9"/>
      <c r="O34" s="41">
        <v>16597</v>
      </c>
      <c r="P34" s="1524">
        <f>O34*30.126/1000</f>
        <v>500.001222</v>
      </c>
      <c r="Q34" s="43">
        <v>16597</v>
      </c>
      <c r="R34" s="37">
        <f>Q34*30.126/1000</f>
        <v>500.001222</v>
      </c>
      <c r="S34" s="930"/>
      <c r="T34" s="15"/>
      <c r="U34" s="41"/>
      <c r="V34" s="324"/>
    </row>
    <row r="35" spans="1:22" s="6" customFormat="1" ht="15" customHeight="1">
      <c r="A35" s="187" t="s">
        <v>398</v>
      </c>
      <c r="B35" s="1833" t="s">
        <v>869</v>
      </c>
      <c r="C35" s="1440">
        <v>41</v>
      </c>
      <c r="D35" s="1825">
        <v>14</v>
      </c>
      <c r="E35" s="2371">
        <v>1660</v>
      </c>
      <c r="F35" s="227">
        <f>(E35*30.126)/1000</f>
        <v>50.00916</v>
      </c>
      <c r="G35" s="563">
        <v>1660</v>
      </c>
      <c r="H35" s="361">
        <f>G35*30.126/1000</f>
        <v>50.00916</v>
      </c>
      <c r="I35" s="41">
        <v>1660</v>
      </c>
      <c r="J35" s="15">
        <f>I35*30.126/1000</f>
        <v>50.00916</v>
      </c>
      <c r="K35" s="41"/>
      <c r="L35" s="41"/>
      <c r="M35" s="41"/>
      <c r="N35" s="9"/>
      <c r="O35" s="41">
        <v>1660</v>
      </c>
      <c r="P35" s="1524">
        <f>O35*30.126/1000</f>
        <v>50.00916</v>
      </c>
      <c r="Q35" s="43">
        <v>1660</v>
      </c>
      <c r="R35" s="37">
        <f>Q35*30.126/1000</f>
        <v>50.00916</v>
      </c>
      <c r="S35" s="930"/>
      <c r="T35" s="15"/>
      <c r="U35" s="41"/>
      <c r="V35" s="324"/>
    </row>
    <row r="36" spans="1:22" s="30" customFormat="1" ht="19.5" customHeight="1">
      <c r="A36" s="137" t="s">
        <v>399</v>
      </c>
      <c r="B36" s="51" t="s">
        <v>967</v>
      </c>
      <c r="C36" s="780">
        <f aca="true" t="shared" si="13" ref="C36:N36">SUM(C37:C38)</f>
        <v>532</v>
      </c>
      <c r="D36" s="456">
        <f t="shared" si="13"/>
        <v>1883</v>
      </c>
      <c r="E36" s="770">
        <f t="shared" si="13"/>
        <v>20913</v>
      </c>
      <c r="F36" s="480">
        <f t="shared" si="13"/>
        <v>630.025038</v>
      </c>
      <c r="G36" s="464">
        <f t="shared" si="13"/>
        <v>18257</v>
      </c>
      <c r="H36" s="20">
        <f t="shared" si="13"/>
        <v>550.0103819999999</v>
      </c>
      <c r="I36" s="29">
        <f t="shared" si="13"/>
        <v>18257</v>
      </c>
      <c r="J36" s="29">
        <f t="shared" si="13"/>
        <v>550.0103819999999</v>
      </c>
      <c r="K36" s="29">
        <f t="shared" si="13"/>
        <v>16598</v>
      </c>
      <c r="L36" s="29">
        <f t="shared" si="13"/>
        <v>500.031348</v>
      </c>
      <c r="M36" s="29">
        <f t="shared" si="13"/>
        <v>18257</v>
      </c>
      <c r="N36" s="29">
        <f t="shared" si="13"/>
        <v>550.0103819999999</v>
      </c>
      <c r="O36" s="29">
        <f>SUM(O37:O38)</f>
        <v>4979</v>
      </c>
      <c r="P36" s="456">
        <f>SUM(P37:P38)</f>
        <v>149.997354</v>
      </c>
      <c r="Q36" s="20">
        <f>SUM(Q37:Q38)</f>
        <v>4979</v>
      </c>
      <c r="R36" s="18">
        <f>SUM(R37:R38)</f>
        <v>149.997354</v>
      </c>
      <c r="S36" s="780">
        <v>4979</v>
      </c>
      <c r="T36" s="29">
        <f>S36*30.126/1000</f>
        <v>149.997354</v>
      </c>
      <c r="U36" s="29">
        <v>4979</v>
      </c>
      <c r="V36" s="480">
        <f>U36*30.126/1000</f>
        <v>149.997354</v>
      </c>
    </row>
    <row r="37" spans="1:22" s="6" customFormat="1" ht="15" customHeight="1">
      <c r="A37" s="138"/>
      <c r="B37" s="1831" t="s">
        <v>873</v>
      </c>
      <c r="C37" s="1438">
        <v>395</v>
      </c>
      <c r="D37" s="1824">
        <v>1792</v>
      </c>
      <c r="E37" s="2411">
        <v>18257</v>
      </c>
      <c r="F37" s="719">
        <f>(E37*30.126)/1000</f>
        <v>550.0103819999999</v>
      </c>
      <c r="G37" s="731">
        <v>13278</v>
      </c>
      <c r="H37" s="721">
        <f>G37*30.126/1000</f>
        <v>400.01302799999996</v>
      </c>
      <c r="I37" s="89">
        <v>13278</v>
      </c>
      <c r="J37" s="15">
        <f>I37*30.126/1000</f>
        <v>400.01302799999996</v>
      </c>
      <c r="K37" s="89">
        <v>11619</v>
      </c>
      <c r="L37" s="89">
        <f>K37*30.126/1000</f>
        <v>350.033994</v>
      </c>
      <c r="M37" s="89">
        <v>13278</v>
      </c>
      <c r="N37" s="89">
        <f>M37*30.126/1000</f>
        <v>400.01302799999996</v>
      </c>
      <c r="O37" s="89"/>
      <c r="P37" s="1524"/>
      <c r="Q37" s="737"/>
      <c r="R37" s="37"/>
      <c r="S37" s="1438"/>
      <c r="T37" s="15"/>
      <c r="U37" s="89"/>
      <c r="V37" s="324"/>
    </row>
    <row r="38" spans="1:22" s="6" customFormat="1" ht="15" customHeight="1">
      <c r="A38" s="228"/>
      <c r="B38" s="1833" t="s">
        <v>875</v>
      </c>
      <c r="C38" s="1440">
        <v>137</v>
      </c>
      <c r="D38" s="1825">
        <v>91</v>
      </c>
      <c r="E38" s="772">
        <v>2656</v>
      </c>
      <c r="F38" s="139">
        <f>(E38*30.126)/1000</f>
        <v>80.014656</v>
      </c>
      <c r="G38" s="446">
        <v>4979</v>
      </c>
      <c r="H38" s="721">
        <f>G38*30.126/1000</f>
        <v>149.997354</v>
      </c>
      <c r="I38" s="9">
        <v>4979</v>
      </c>
      <c r="J38" s="15">
        <f>I38*30.126/1000</f>
        <v>149.997354</v>
      </c>
      <c r="K38" s="9">
        <v>4979</v>
      </c>
      <c r="L38" s="89">
        <f>K38*30.126/1000</f>
        <v>149.997354</v>
      </c>
      <c r="M38" s="9">
        <v>4979</v>
      </c>
      <c r="N38" s="89">
        <f>M38*30.126/1000</f>
        <v>149.997354</v>
      </c>
      <c r="O38" s="9">
        <v>4979</v>
      </c>
      <c r="P38" s="1524">
        <f>O38*30.126/1000</f>
        <v>149.997354</v>
      </c>
      <c r="Q38" s="35">
        <v>4979</v>
      </c>
      <c r="R38" s="37">
        <f>Q38*30.126/1000</f>
        <v>149.997354</v>
      </c>
      <c r="S38" s="782"/>
      <c r="T38" s="15"/>
      <c r="U38" s="9"/>
      <c r="V38" s="324"/>
    </row>
    <row r="39" spans="1:22" s="30" customFormat="1" ht="19.5" customHeight="1">
      <c r="A39" s="183" t="s">
        <v>872</v>
      </c>
      <c r="B39" s="1830" t="s">
        <v>394</v>
      </c>
      <c r="C39" s="779">
        <f>C40</f>
        <v>18780</v>
      </c>
      <c r="D39" s="455">
        <f>D40</f>
        <v>8987</v>
      </c>
      <c r="E39" s="769">
        <f>E40</f>
        <v>169289</v>
      </c>
      <c r="F39" s="479">
        <f>F40</f>
        <v>5100.000414</v>
      </c>
      <c r="G39" s="463">
        <f aca="true" t="shared" si="14" ref="G39:V39">G40</f>
        <v>79665</v>
      </c>
      <c r="H39" s="447">
        <f t="shared" si="14"/>
        <v>2399.98779</v>
      </c>
      <c r="I39" s="28">
        <f t="shared" si="14"/>
        <v>79665</v>
      </c>
      <c r="J39" s="28">
        <f t="shared" si="14"/>
        <v>2399.98779</v>
      </c>
      <c r="K39" s="28">
        <f t="shared" si="14"/>
        <v>0</v>
      </c>
      <c r="L39" s="28">
        <f t="shared" si="14"/>
        <v>0</v>
      </c>
      <c r="M39" s="28">
        <f t="shared" si="14"/>
        <v>132776</v>
      </c>
      <c r="N39" s="28">
        <f t="shared" si="14"/>
        <v>4000.009776</v>
      </c>
      <c r="O39" s="28">
        <f t="shared" si="14"/>
        <v>79665</v>
      </c>
      <c r="P39" s="455">
        <f t="shared" si="14"/>
        <v>2399.98779</v>
      </c>
      <c r="Q39" s="19">
        <f t="shared" si="14"/>
        <v>149665</v>
      </c>
      <c r="R39" s="17">
        <f t="shared" si="14"/>
        <v>4508.807790000001</v>
      </c>
      <c r="S39" s="779">
        <f t="shared" si="14"/>
        <v>79665</v>
      </c>
      <c r="T39" s="28">
        <f t="shared" si="14"/>
        <v>2399.98779</v>
      </c>
      <c r="U39" s="28">
        <f t="shared" si="14"/>
        <v>79665</v>
      </c>
      <c r="V39" s="479">
        <f t="shared" si="14"/>
        <v>2399.98779</v>
      </c>
    </row>
    <row r="40" spans="1:22" s="71" customFormat="1" ht="19.5" customHeight="1">
      <c r="A40" s="137" t="s">
        <v>874</v>
      </c>
      <c r="B40" s="51" t="s">
        <v>967</v>
      </c>
      <c r="C40" s="780">
        <f aca="true" t="shared" si="15" ref="C40:N40">C41+C47+C55</f>
        <v>18780</v>
      </c>
      <c r="D40" s="456">
        <f t="shared" si="15"/>
        <v>8987</v>
      </c>
      <c r="E40" s="770">
        <f t="shared" si="15"/>
        <v>169289</v>
      </c>
      <c r="F40" s="480">
        <f t="shared" si="15"/>
        <v>5100.000414</v>
      </c>
      <c r="G40" s="464">
        <f t="shared" si="15"/>
        <v>79665</v>
      </c>
      <c r="H40" s="20">
        <f t="shared" si="15"/>
        <v>2399.98779</v>
      </c>
      <c r="I40" s="29">
        <f t="shared" si="15"/>
        <v>79665</v>
      </c>
      <c r="J40" s="29">
        <f t="shared" si="15"/>
        <v>2399.98779</v>
      </c>
      <c r="K40" s="29">
        <f t="shared" si="15"/>
        <v>0</v>
      </c>
      <c r="L40" s="29">
        <f t="shared" si="15"/>
        <v>0</v>
      </c>
      <c r="M40" s="29">
        <f t="shared" si="15"/>
        <v>132776</v>
      </c>
      <c r="N40" s="29">
        <f t="shared" si="15"/>
        <v>4000.009776</v>
      </c>
      <c r="O40" s="29">
        <f>O41+O47+O55</f>
        <v>79665</v>
      </c>
      <c r="P40" s="456">
        <f>P41+P47+P55</f>
        <v>2399.98779</v>
      </c>
      <c r="Q40" s="20">
        <f>Q41+Q47+Q55</f>
        <v>149665</v>
      </c>
      <c r="R40" s="18">
        <f>R41+R47+R55</f>
        <v>4508.807790000001</v>
      </c>
      <c r="S40" s="780">
        <v>79665</v>
      </c>
      <c r="T40" s="29">
        <f>S40*30.126/1000</f>
        <v>2399.98779</v>
      </c>
      <c r="U40" s="29">
        <v>79665</v>
      </c>
      <c r="V40" s="480">
        <f>U40*30.126/1000</f>
        <v>2399.98779</v>
      </c>
    </row>
    <row r="41" spans="1:22" s="26" customFormat="1" ht="15" customHeight="1">
      <c r="A41" s="229" t="s">
        <v>883</v>
      </c>
      <c r="B41" s="1833" t="s">
        <v>882</v>
      </c>
      <c r="C41" s="783">
        <f>SUM(C42:C44)</f>
        <v>2980</v>
      </c>
      <c r="D41" s="458">
        <f>SUM(D42:D44)</f>
        <v>8938</v>
      </c>
      <c r="E41" s="861">
        <f>SUM(E42:E46)</f>
        <v>169289</v>
      </c>
      <c r="F41" s="207">
        <f aca="true" t="shared" si="16" ref="F41:N41">SUM(F42:F46)</f>
        <v>5100.000414</v>
      </c>
      <c r="G41" s="615">
        <f t="shared" si="16"/>
        <v>69707</v>
      </c>
      <c r="H41" s="448">
        <f t="shared" si="16"/>
        <v>2099.993082</v>
      </c>
      <c r="I41" s="14">
        <f t="shared" si="16"/>
        <v>69707</v>
      </c>
      <c r="J41" s="14">
        <f t="shared" si="16"/>
        <v>2099.993082</v>
      </c>
      <c r="K41" s="14">
        <f t="shared" si="16"/>
        <v>0</v>
      </c>
      <c r="L41" s="14">
        <f t="shared" si="16"/>
        <v>0</v>
      </c>
      <c r="M41" s="14">
        <f t="shared" si="16"/>
        <v>0</v>
      </c>
      <c r="N41" s="14">
        <f t="shared" si="16"/>
        <v>0</v>
      </c>
      <c r="O41" s="14">
        <f>SUM(O42:O46)</f>
        <v>69707</v>
      </c>
      <c r="P41" s="1528">
        <f>SUM(P42:P46)</f>
        <v>2099.993082</v>
      </c>
      <c r="Q41" s="38">
        <f>SUM(Q42:Q46)</f>
        <v>69707</v>
      </c>
      <c r="R41" s="39">
        <f>SUM(R42:R46)</f>
        <v>2099.993082</v>
      </c>
      <c r="S41" s="855"/>
      <c r="T41" s="14"/>
      <c r="U41" s="14"/>
      <c r="V41" s="207"/>
    </row>
    <row r="42" spans="1:22" s="26" customFormat="1" ht="15" customHeight="1">
      <c r="A42" s="230"/>
      <c r="B42" s="50" t="s">
        <v>879</v>
      </c>
      <c r="C42" s="883">
        <v>2980</v>
      </c>
      <c r="D42" s="2305">
        <v>8938</v>
      </c>
      <c r="E42" s="861"/>
      <c r="F42" s="207"/>
      <c r="G42" s="615"/>
      <c r="H42" s="448"/>
      <c r="I42" s="14"/>
      <c r="J42" s="14"/>
      <c r="K42" s="14"/>
      <c r="L42" s="14"/>
      <c r="M42" s="14"/>
      <c r="N42" s="14"/>
      <c r="O42" s="14"/>
      <c r="P42" s="1528"/>
      <c r="Q42" s="38"/>
      <c r="R42" s="39"/>
      <c r="S42" s="855"/>
      <c r="T42" s="14"/>
      <c r="U42" s="14"/>
      <c r="V42" s="207"/>
    </row>
    <row r="43" spans="1:22" s="26" customFormat="1" ht="15" customHeight="1">
      <c r="A43" s="219"/>
      <c r="B43" s="50" t="s">
        <v>597</v>
      </c>
      <c r="C43" s="883"/>
      <c r="D43" s="2305"/>
      <c r="E43" s="861">
        <v>99591</v>
      </c>
      <c r="F43" s="207">
        <f>(E43*30.126)/1000</f>
        <v>3000.278466</v>
      </c>
      <c r="G43" s="615"/>
      <c r="H43" s="448"/>
      <c r="I43" s="14"/>
      <c r="J43" s="14"/>
      <c r="K43" s="14"/>
      <c r="L43" s="14"/>
      <c r="M43" s="14"/>
      <c r="N43" s="14"/>
      <c r="O43" s="14"/>
      <c r="P43" s="1528"/>
      <c r="Q43" s="38"/>
      <c r="R43" s="39"/>
      <c r="S43" s="855"/>
      <c r="T43" s="14"/>
      <c r="U43" s="14"/>
      <c r="V43" s="207"/>
    </row>
    <row r="44" spans="1:22" s="26" customFormat="1" ht="15" customHeight="1">
      <c r="A44" s="224"/>
      <c r="B44" s="50" t="s">
        <v>1145</v>
      </c>
      <c r="C44" s="883"/>
      <c r="D44" s="2305"/>
      <c r="E44" s="861">
        <v>69698</v>
      </c>
      <c r="F44" s="207">
        <f>(E44*30.126)/1000</f>
        <v>2099.721948</v>
      </c>
      <c r="G44" s="615"/>
      <c r="H44" s="448"/>
      <c r="I44" s="14"/>
      <c r="J44" s="14"/>
      <c r="K44" s="14"/>
      <c r="L44" s="14"/>
      <c r="M44" s="14"/>
      <c r="N44" s="14"/>
      <c r="O44" s="14"/>
      <c r="P44" s="1528"/>
      <c r="Q44" s="38"/>
      <c r="R44" s="39"/>
      <c r="S44" s="855"/>
      <c r="T44" s="14"/>
      <c r="U44" s="14"/>
      <c r="V44" s="207"/>
    </row>
    <row r="45" spans="1:22" s="26" customFormat="1" ht="15" customHeight="1">
      <c r="A45" s="224"/>
      <c r="B45" s="50" t="s">
        <v>593</v>
      </c>
      <c r="C45" s="883"/>
      <c r="D45" s="2305"/>
      <c r="E45" s="861"/>
      <c r="F45" s="207"/>
      <c r="G45" s="615">
        <v>66388</v>
      </c>
      <c r="H45" s="448">
        <f>G45*30.126/1000</f>
        <v>2000.004888</v>
      </c>
      <c r="I45" s="14">
        <v>66388</v>
      </c>
      <c r="J45" s="15">
        <f>I45*30.126/1000</f>
        <v>2000.004888</v>
      </c>
      <c r="K45" s="14"/>
      <c r="L45" s="14"/>
      <c r="M45" s="14"/>
      <c r="N45" s="14"/>
      <c r="O45" s="14">
        <v>66388</v>
      </c>
      <c r="P45" s="1524">
        <f>O45*30.126/1000</f>
        <v>2000.004888</v>
      </c>
      <c r="Q45" s="38">
        <v>66388</v>
      </c>
      <c r="R45" s="37">
        <f>Q45*30.126/1000</f>
        <v>2000.004888</v>
      </c>
      <c r="S45" s="855"/>
      <c r="T45" s="15"/>
      <c r="U45" s="14"/>
      <c r="V45" s="324"/>
    </row>
    <row r="46" spans="1:22" s="26" customFormat="1" ht="15" customHeight="1">
      <c r="A46" s="224"/>
      <c r="B46" s="50" t="s">
        <v>221</v>
      </c>
      <c r="C46" s="883"/>
      <c r="D46" s="2305"/>
      <c r="E46" s="861"/>
      <c r="F46" s="207"/>
      <c r="G46" s="615">
        <v>3319</v>
      </c>
      <c r="H46" s="448">
        <f>G46*30.126/1000</f>
        <v>99.98819400000001</v>
      </c>
      <c r="I46" s="14">
        <v>3319</v>
      </c>
      <c r="J46" s="15">
        <f>I46*30.126/1000</f>
        <v>99.98819400000001</v>
      </c>
      <c r="K46" s="14"/>
      <c r="L46" s="14"/>
      <c r="M46" s="14"/>
      <c r="N46" s="14"/>
      <c r="O46" s="14">
        <v>3319</v>
      </c>
      <c r="P46" s="1524">
        <f>O46*30.126/1000</f>
        <v>99.98819400000001</v>
      </c>
      <c r="Q46" s="38">
        <v>3319</v>
      </c>
      <c r="R46" s="37">
        <f>Q46*30.126/1000</f>
        <v>99.98819400000001</v>
      </c>
      <c r="S46" s="855"/>
      <c r="T46" s="15"/>
      <c r="U46" s="14"/>
      <c r="V46" s="324"/>
    </row>
    <row r="47" spans="1:22" s="26" customFormat="1" ht="15" customHeight="1">
      <c r="A47" s="229" t="s">
        <v>885</v>
      </c>
      <c r="B47" s="1833" t="s">
        <v>884</v>
      </c>
      <c r="C47" s="783">
        <f>SUM(C48:C54)</f>
        <v>15800</v>
      </c>
      <c r="D47" s="458">
        <f aca="true" t="shared" si="17" ref="D47:N47">SUM(D48:D54)</f>
        <v>49</v>
      </c>
      <c r="E47" s="773"/>
      <c r="F47" s="481"/>
      <c r="G47" s="466">
        <f t="shared" si="17"/>
        <v>9958</v>
      </c>
      <c r="H47" s="471">
        <f t="shared" si="17"/>
        <v>299.994708</v>
      </c>
      <c r="I47" s="73">
        <f t="shared" si="17"/>
        <v>9958</v>
      </c>
      <c r="J47" s="73">
        <f t="shared" si="17"/>
        <v>299.994708</v>
      </c>
      <c r="K47" s="73">
        <f t="shared" si="17"/>
        <v>0</v>
      </c>
      <c r="L47" s="73">
        <f t="shared" si="17"/>
        <v>0</v>
      </c>
      <c r="M47" s="73">
        <f t="shared" si="17"/>
        <v>33194</v>
      </c>
      <c r="N47" s="73">
        <f t="shared" si="17"/>
        <v>1000.002444</v>
      </c>
      <c r="O47" s="73">
        <f>SUM(O48:O54)</f>
        <v>9958</v>
      </c>
      <c r="P47" s="458">
        <f>SUM(P48:P54)</f>
        <v>299.994708</v>
      </c>
      <c r="Q47" s="663">
        <f>SUM(Q48:Q54)</f>
        <v>79958</v>
      </c>
      <c r="R47" s="74">
        <f>SUM(R48:R54)</f>
        <v>2408.8147080000003</v>
      </c>
      <c r="S47" s="783"/>
      <c r="T47" s="73"/>
      <c r="U47" s="73"/>
      <c r="V47" s="481"/>
    </row>
    <row r="48" spans="1:22" s="26" customFormat="1" ht="15" customHeight="1" hidden="1">
      <c r="A48" s="200"/>
      <c r="B48" s="50" t="s">
        <v>759</v>
      </c>
      <c r="C48" s="883"/>
      <c r="D48" s="2305">
        <v>49</v>
      </c>
      <c r="E48" s="861"/>
      <c r="F48" s="207"/>
      <c r="G48" s="615"/>
      <c r="H48" s="448"/>
      <c r="I48" s="14"/>
      <c r="J48" s="14"/>
      <c r="K48" s="14"/>
      <c r="L48" s="14"/>
      <c r="M48" s="14"/>
      <c r="N48" s="14"/>
      <c r="O48" s="14"/>
      <c r="P48" s="1528"/>
      <c r="Q48" s="38"/>
      <c r="R48" s="39"/>
      <c r="S48" s="855"/>
      <c r="T48" s="14"/>
      <c r="U48" s="14"/>
      <c r="V48" s="207"/>
    </row>
    <row r="49" spans="1:22" s="26" customFormat="1" ht="15" customHeight="1">
      <c r="A49" s="219"/>
      <c r="B49" s="50" t="s">
        <v>881</v>
      </c>
      <c r="C49" s="883"/>
      <c r="D49" s="2305"/>
      <c r="E49" s="861"/>
      <c r="F49" s="207"/>
      <c r="G49" s="615">
        <v>6639</v>
      </c>
      <c r="H49" s="448">
        <f>G49*30.126/1000</f>
        <v>200.00651399999998</v>
      </c>
      <c r="I49" s="14">
        <v>6639</v>
      </c>
      <c r="J49" s="15">
        <f>I49*30.126/1000</f>
        <v>200.00651399999998</v>
      </c>
      <c r="K49" s="14"/>
      <c r="L49" s="14"/>
      <c r="M49" s="14"/>
      <c r="N49" s="14"/>
      <c r="O49" s="14">
        <v>6639</v>
      </c>
      <c r="P49" s="1524">
        <f>O49*30.126/1000</f>
        <v>200.00651399999998</v>
      </c>
      <c r="Q49" s="38">
        <v>6639</v>
      </c>
      <c r="R49" s="37">
        <f>Q49*30.126/1000</f>
        <v>200.00651399999998</v>
      </c>
      <c r="S49" s="855"/>
      <c r="T49" s="15"/>
      <c r="U49" s="14"/>
      <c r="V49" s="324"/>
    </row>
    <row r="50" spans="1:22" s="26" customFormat="1" ht="15" customHeight="1">
      <c r="A50" s="219"/>
      <c r="B50" s="2812" t="s">
        <v>593</v>
      </c>
      <c r="C50" s="883"/>
      <c r="D50" s="2305"/>
      <c r="E50" s="2497"/>
      <c r="F50" s="730"/>
      <c r="G50" s="615"/>
      <c r="H50" s="448"/>
      <c r="I50" s="14"/>
      <c r="J50" s="15"/>
      <c r="K50" s="14"/>
      <c r="L50" s="14"/>
      <c r="M50" s="14"/>
      <c r="N50" s="14"/>
      <c r="O50" s="14"/>
      <c r="P50" s="1524"/>
      <c r="Q50" s="1374">
        <v>70000</v>
      </c>
      <c r="R50" s="37">
        <f>Q50*30.126/1000</f>
        <v>2108.82</v>
      </c>
      <c r="S50" s="1538"/>
      <c r="T50" s="2813"/>
      <c r="U50" s="323"/>
      <c r="V50" s="2814"/>
    </row>
    <row r="51" spans="1:22" s="26" customFormat="1" ht="15" customHeight="1" thickBot="1">
      <c r="A51" s="221"/>
      <c r="B51" s="1834" t="s">
        <v>222</v>
      </c>
      <c r="C51" s="883"/>
      <c r="D51" s="2305"/>
      <c r="E51" s="2415"/>
      <c r="F51" s="685"/>
      <c r="G51" s="615">
        <v>3319</v>
      </c>
      <c r="H51" s="448">
        <f>G51*30.126/1000</f>
        <v>99.98819400000001</v>
      </c>
      <c r="I51" s="14">
        <v>3319</v>
      </c>
      <c r="J51" s="15">
        <f>I51*30.126/1000</f>
        <v>99.98819400000001</v>
      </c>
      <c r="K51" s="14"/>
      <c r="L51" s="14"/>
      <c r="M51" s="14"/>
      <c r="N51" s="14"/>
      <c r="O51" s="14">
        <v>3319</v>
      </c>
      <c r="P51" s="1524">
        <f>O51*30.126/1000</f>
        <v>99.98819400000001</v>
      </c>
      <c r="Q51" s="1348">
        <v>3319</v>
      </c>
      <c r="R51" s="1357">
        <f>Q51*30.126/1000</f>
        <v>99.98819400000001</v>
      </c>
      <c r="S51" s="2417"/>
      <c r="T51" s="218"/>
      <c r="U51" s="216"/>
      <c r="V51" s="696"/>
    </row>
    <row r="52" spans="1:22" s="26" customFormat="1" ht="15" customHeight="1" hidden="1">
      <c r="A52" s="219"/>
      <c r="B52" s="1828" t="s">
        <v>223</v>
      </c>
      <c r="C52" s="883"/>
      <c r="D52" s="277"/>
      <c r="E52" s="698"/>
      <c r="F52" s="699"/>
      <c r="G52" s="615"/>
      <c r="H52" s="448"/>
      <c r="I52" s="14"/>
      <c r="J52" s="14"/>
      <c r="K52" s="14"/>
      <c r="L52" s="14"/>
      <c r="M52" s="14">
        <v>33194</v>
      </c>
      <c r="N52" s="14">
        <f>M52*30.126/1000</f>
        <v>1000.002444</v>
      </c>
      <c r="O52" s="14"/>
      <c r="P52" s="207"/>
      <c r="Q52" s="700"/>
      <c r="R52" s="1826"/>
      <c r="S52" s="700"/>
      <c r="T52" s="1826"/>
      <c r="U52" s="700"/>
      <c r="V52" s="1826"/>
    </row>
    <row r="53" spans="1:22" s="26" customFormat="1" ht="15" customHeight="1" hidden="1">
      <c r="A53" s="219"/>
      <c r="B53" s="1442" t="s">
        <v>665</v>
      </c>
      <c r="C53" s="887">
        <v>1392</v>
      </c>
      <c r="D53" s="309"/>
      <c r="E53" s="1374"/>
      <c r="F53" s="320"/>
      <c r="G53" s="736"/>
      <c r="H53" s="729"/>
      <c r="I53" s="323"/>
      <c r="J53" s="323"/>
      <c r="K53" s="323"/>
      <c r="L53" s="323"/>
      <c r="M53" s="323"/>
      <c r="N53" s="323"/>
      <c r="O53" s="323"/>
      <c r="P53" s="730"/>
      <c r="Q53" s="323"/>
      <c r="R53" s="730"/>
      <c r="S53" s="323"/>
      <c r="T53" s="730"/>
      <c r="U53" s="323"/>
      <c r="V53" s="730"/>
    </row>
    <row r="54" spans="1:22" s="26" customFormat="1" ht="15" customHeight="1" hidden="1" thickBot="1">
      <c r="A54" s="221"/>
      <c r="B54" s="1364" t="s">
        <v>880</v>
      </c>
      <c r="C54" s="1335">
        <v>14408</v>
      </c>
      <c r="D54" s="278"/>
      <c r="E54" s="1348"/>
      <c r="F54" s="1349"/>
      <c r="G54" s="686"/>
      <c r="H54" s="688"/>
      <c r="I54" s="216"/>
      <c r="J54" s="216"/>
      <c r="K54" s="216"/>
      <c r="L54" s="216"/>
      <c r="M54" s="216"/>
      <c r="N54" s="216"/>
      <c r="O54" s="216"/>
      <c r="P54" s="685"/>
      <c r="Q54" s="216"/>
      <c r="R54" s="685"/>
      <c r="S54" s="216"/>
      <c r="T54" s="685"/>
      <c r="U54" s="216"/>
      <c r="V54" s="685"/>
    </row>
    <row r="55" spans="1:22" s="26" customFormat="1" ht="15" customHeight="1" hidden="1" thickBot="1">
      <c r="A55" s="221" t="s">
        <v>225</v>
      </c>
      <c r="B55" s="708" t="s">
        <v>224</v>
      </c>
      <c r="C55" s="709"/>
      <c r="D55" s="710"/>
      <c r="E55" s="711"/>
      <c r="F55" s="712"/>
      <c r="G55" s="713"/>
      <c r="H55" s="714"/>
      <c r="I55" s="715"/>
      <c r="J55" s="716"/>
      <c r="K55" s="716"/>
      <c r="L55" s="717"/>
      <c r="M55" s="715">
        <v>99582</v>
      </c>
      <c r="N55" s="718">
        <f>M55*30.126/1000</f>
        <v>3000.007332</v>
      </c>
      <c r="O55" s="715"/>
      <c r="P55" s="716"/>
      <c r="Q55" s="716"/>
      <c r="R55" s="716"/>
      <c r="S55" s="716"/>
      <c r="T55" s="716"/>
      <c r="U55" s="716"/>
      <c r="V55" s="716"/>
    </row>
    <row r="56" ht="19.5" customHeight="1" thickBot="1"/>
    <row r="57" spans="1:22" s="23" customFormat="1" ht="39.75" customHeight="1" thickTop="1">
      <c r="A57" s="2884"/>
      <c r="B57" s="2885"/>
      <c r="C57" s="360" t="s">
        <v>506</v>
      </c>
      <c r="D57" s="2112" t="s">
        <v>507</v>
      </c>
      <c r="E57" s="2890" t="s">
        <v>184</v>
      </c>
      <c r="F57" s="2891"/>
      <c r="G57" s="570" t="s">
        <v>510</v>
      </c>
      <c r="H57" s="473" t="s">
        <v>510</v>
      </c>
      <c r="I57" s="474" t="s">
        <v>87</v>
      </c>
      <c r="J57" s="474" t="s">
        <v>87</v>
      </c>
      <c r="K57" s="2871" t="s">
        <v>509</v>
      </c>
      <c r="L57" s="2871"/>
      <c r="M57" s="2871" t="s">
        <v>508</v>
      </c>
      <c r="N57" s="2871"/>
      <c r="O57" s="475" t="s">
        <v>952</v>
      </c>
      <c r="P57" s="476" t="s">
        <v>952</v>
      </c>
      <c r="Q57" s="2859" t="s">
        <v>183</v>
      </c>
      <c r="R57" s="2860"/>
      <c r="S57" s="2880" t="s">
        <v>725</v>
      </c>
      <c r="T57" s="2877"/>
      <c r="U57" s="2877" t="s">
        <v>726</v>
      </c>
      <c r="V57" s="2879"/>
    </row>
    <row r="58" spans="1:22" s="24" customFormat="1" ht="15" customHeight="1" thickBot="1">
      <c r="A58" s="2886"/>
      <c r="B58" s="2887"/>
      <c r="C58" s="347" t="s">
        <v>966</v>
      </c>
      <c r="D58" s="2304" t="s">
        <v>966</v>
      </c>
      <c r="E58" s="768" t="s">
        <v>435</v>
      </c>
      <c r="F58" s="307" t="s">
        <v>966</v>
      </c>
      <c r="G58" s="461" t="s">
        <v>435</v>
      </c>
      <c r="H58" s="346" t="s">
        <v>966</v>
      </c>
      <c r="I58" s="450" t="s">
        <v>435</v>
      </c>
      <c r="J58" s="450" t="s">
        <v>966</v>
      </c>
      <c r="K58" s="239" t="s">
        <v>435</v>
      </c>
      <c r="L58" s="239" t="s">
        <v>966</v>
      </c>
      <c r="M58" s="239" t="s">
        <v>435</v>
      </c>
      <c r="N58" s="239" t="s">
        <v>966</v>
      </c>
      <c r="O58" s="451" t="s">
        <v>435</v>
      </c>
      <c r="P58" s="477" t="s">
        <v>966</v>
      </c>
      <c r="Q58" s="238" t="s">
        <v>435</v>
      </c>
      <c r="R58" s="993" t="s">
        <v>966</v>
      </c>
      <c r="S58" s="2117" t="s">
        <v>435</v>
      </c>
      <c r="T58" s="239" t="s">
        <v>966</v>
      </c>
      <c r="U58" s="239" t="s">
        <v>435</v>
      </c>
      <c r="V58" s="307" t="s">
        <v>966</v>
      </c>
    </row>
    <row r="59" spans="1:22" s="420" customFormat="1" ht="19.5" customHeight="1">
      <c r="A59" s="1776" t="s">
        <v>758</v>
      </c>
      <c r="B59" s="1012" t="s">
        <v>318</v>
      </c>
      <c r="C59" s="1013">
        <f aca="true" t="shared" si="18" ref="C59:C64">C62</f>
        <v>0</v>
      </c>
      <c r="D59" s="1507">
        <f aca="true" t="shared" si="19" ref="D59:N59">D62</f>
        <v>0</v>
      </c>
      <c r="E59" s="1018">
        <f t="shared" si="19"/>
        <v>154214</v>
      </c>
      <c r="F59" s="1017">
        <f t="shared" si="19"/>
        <v>4645.850964</v>
      </c>
      <c r="G59" s="1102">
        <f t="shared" si="19"/>
        <v>0</v>
      </c>
      <c r="H59" s="1015">
        <f t="shared" si="19"/>
        <v>0</v>
      </c>
      <c r="I59" s="1016">
        <f t="shared" si="19"/>
        <v>0</v>
      </c>
      <c r="J59" s="1016">
        <f t="shared" si="19"/>
        <v>0</v>
      </c>
      <c r="K59" s="1016">
        <f t="shared" si="19"/>
        <v>0</v>
      </c>
      <c r="L59" s="1016">
        <f t="shared" si="19"/>
        <v>0</v>
      </c>
      <c r="M59" s="1016">
        <f t="shared" si="19"/>
        <v>0</v>
      </c>
      <c r="N59" s="1016">
        <f t="shared" si="19"/>
        <v>0</v>
      </c>
      <c r="O59" s="1016">
        <f aca="true" t="shared" si="20" ref="O59:P64">O62</f>
        <v>0</v>
      </c>
      <c r="P59" s="1017">
        <f t="shared" si="20"/>
        <v>0</v>
      </c>
      <c r="Q59" s="1015">
        <f aca="true" t="shared" si="21" ref="Q59:R64">Q62</f>
        <v>0</v>
      </c>
      <c r="R59" s="1014">
        <f t="shared" si="21"/>
        <v>0</v>
      </c>
      <c r="S59" s="1013">
        <f aca="true" t="shared" si="22" ref="S59:V64">S62</f>
        <v>0</v>
      </c>
      <c r="T59" s="1016">
        <f t="shared" si="22"/>
        <v>0</v>
      </c>
      <c r="U59" s="1016">
        <f t="shared" si="22"/>
        <v>0</v>
      </c>
      <c r="V59" s="1017">
        <f t="shared" si="22"/>
        <v>0</v>
      </c>
    </row>
    <row r="60" spans="1:22" s="30" customFormat="1" ht="15" customHeight="1">
      <c r="A60" s="1020"/>
      <c r="B60" s="1021" t="s">
        <v>7</v>
      </c>
      <c r="C60" s="1022">
        <f t="shared" si="18"/>
        <v>0</v>
      </c>
      <c r="D60" s="1508">
        <f aca="true" t="shared" si="23" ref="D60:N60">D63</f>
        <v>0</v>
      </c>
      <c r="E60" s="1027">
        <f t="shared" si="23"/>
        <v>62457</v>
      </c>
      <c r="F60" s="1026">
        <f t="shared" si="23"/>
        <v>1881.579582</v>
      </c>
      <c r="G60" s="369">
        <f t="shared" si="23"/>
        <v>0</v>
      </c>
      <c r="H60" s="1024">
        <f t="shared" si="23"/>
        <v>0</v>
      </c>
      <c r="I60" s="1025">
        <f t="shared" si="23"/>
        <v>0</v>
      </c>
      <c r="J60" s="1025">
        <f t="shared" si="23"/>
        <v>0</v>
      </c>
      <c r="K60" s="1025">
        <f t="shared" si="23"/>
        <v>0</v>
      </c>
      <c r="L60" s="1025">
        <f t="shared" si="23"/>
        <v>0</v>
      </c>
      <c r="M60" s="1025">
        <f t="shared" si="23"/>
        <v>0</v>
      </c>
      <c r="N60" s="1025">
        <f t="shared" si="23"/>
        <v>0</v>
      </c>
      <c r="O60" s="1025">
        <f t="shared" si="20"/>
        <v>0</v>
      </c>
      <c r="P60" s="1026">
        <f t="shared" si="20"/>
        <v>0</v>
      </c>
      <c r="Q60" s="1024">
        <f t="shared" si="21"/>
        <v>0</v>
      </c>
      <c r="R60" s="1023">
        <f t="shared" si="21"/>
        <v>0</v>
      </c>
      <c r="S60" s="1022">
        <f t="shared" si="22"/>
        <v>0</v>
      </c>
      <c r="T60" s="1025">
        <f t="shared" si="22"/>
        <v>0</v>
      </c>
      <c r="U60" s="1025">
        <f t="shared" si="22"/>
        <v>0</v>
      </c>
      <c r="V60" s="1026">
        <f t="shared" si="22"/>
        <v>0</v>
      </c>
    </row>
    <row r="61" spans="1:22" s="49" customFormat="1" ht="15" customHeight="1">
      <c r="A61" s="1029"/>
      <c r="B61" s="1030" t="s">
        <v>8</v>
      </c>
      <c r="C61" s="1031">
        <f t="shared" si="18"/>
        <v>0</v>
      </c>
      <c r="D61" s="1509">
        <f aca="true" t="shared" si="24" ref="D61:N61">D64</f>
        <v>0</v>
      </c>
      <c r="E61" s="1036">
        <f t="shared" si="24"/>
        <v>91757</v>
      </c>
      <c r="F61" s="1035">
        <f t="shared" si="24"/>
        <v>2764.2713820000004</v>
      </c>
      <c r="G61" s="1082">
        <f t="shared" si="24"/>
        <v>0</v>
      </c>
      <c r="H61" s="1033">
        <f t="shared" si="24"/>
        <v>0</v>
      </c>
      <c r="I61" s="1034">
        <f t="shared" si="24"/>
        <v>0</v>
      </c>
      <c r="J61" s="1034">
        <f t="shared" si="24"/>
        <v>0</v>
      </c>
      <c r="K61" s="1034">
        <f t="shared" si="24"/>
        <v>0</v>
      </c>
      <c r="L61" s="1034">
        <f t="shared" si="24"/>
        <v>0</v>
      </c>
      <c r="M61" s="1034">
        <f t="shared" si="24"/>
        <v>0</v>
      </c>
      <c r="N61" s="1034">
        <f t="shared" si="24"/>
        <v>0</v>
      </c>
      <c r="O61" s="1034">
        <f t="shared" si="20"/>
        <v>0</v>
      </c>
      <c r="P61" s="1035">
        <f t="shared" si="20"/>
        <v>0</v>
      </c>
      <c r="Q61" s="1033">
        <f t="shared" si="21"/>
        <v>0</v>
      </c>
      <c r="R61" s="1032">
        <f t="shared" si="21"/>
        <v>0</v>
      </c>
      <c r="S61" s="1031">
        <f t="shared" si="22"/>
        <v>0</v>
      </c>
      <c r="T61" s="1034">
        <f t="shared" si="22"/>
        <v>0</v>
      </c>
      <c r="U61" s="1034">
        <f t="shared" si="22"/>
        <v>0</v>
      </c>
      <c r="V61" s="1035">
        <f t="shared" si="22"/>
        <v>0</v>
      </c>
    </row>
    <row r="62" spans="1:22" s="49" customFormat="1" ht="15" customHeight="1">
      <c r="A62" s="1038"/>
      <c r="B62" s="1039" t="s">
        <v>967</v>
      </c>
      <c r="C62" s="1040">
        <f t="shared" si="18"/>
        <v>0</v>
      </c>
      <c r="D62" s="1510">
        <f aca="true" t="shared" si="25" ref="D62:N62">D65</f>
        <v>0</v>
      </c>
      <c r="E62" s="1045">
        <f t="shared" si="25"/>
        <v>154214</v>
      </c>
      <c r="F62" s="1044">
        <f t="shared" si="25"/>
        <v>4645.850964</v>
      </c>
      <c r="G62" s="1083">
        <f t="shared" si="25"/>
        <v>0</v>
      </c>
      <c r="H62" s="1042">
        <f t="shared" si="25"/>
        <v>0</v>
      </c>
      <c r="I62" s="1043">
        <f t="shared" si="25"/>
        <v>0</v>
      </c>
      <c r="J62" s="1043">
        <f t="shared" si="25"/>
        <v>0</v>
      </c>
      <c r="K62" s="1043">
        <f t="shared" si="25"/>
        <v>0</v>
      </c>
      <c r="L62" s="1043">
        <f t="shared" si="25"/>
        <v>0</v>
      </c>
      <c r="M62" s="1043">
        <f t="shared" si="25"/>
        <v>0</v>
      </c>
      <c r="N62" s="1043">
        <f t="shared" si="25"/>
        <v>0</v>
      </c>
      <c r="O62" s="1043">
        <f t="shared" si="20"/>
        <v>0</v>
      </c>
      <c r="P62" s="1044">
        <f t="shared" si="20"/>
        <v>0</v>
      </c>
      <c r="Q62" s="1042">
        <f t="shared" si="21"/>
        <v>0</v>
      </c>
      <c r="R62" s="1041">
        <f t="shared" si="21"/>
        <v>0</v>
      </c>
      <c r="S62" s="1040">
        <f t="shared" si="22"/>
        <v>0</v>
      </c>
      <c r="T62" s="1043">
        <f t="shared" si="22"/>
        <v>0</v>
      </c>
      <c r="U62" s="1043">
        <f t="shared" si="22"/>
        <v>0</v>
      </c>
      <c r="V62" s="1044">
        <f t="shared" si="22"/>
        <v>0</v>
      </c>
    </row>
    <row r="63" spans="1:22" s="30" customFormat="1" ht="15" customHeight="1">
      <c r="A63" s="1020"/>
      <c r="B63" s="1021" t="s">
        <v>7</v>
      </c>
      <c r="C63" s="1022">
        <f t="shared" si="18"/>
        <v>0</v>
      </c>
      <c r="D63" s="1508">
        <f aca="true" t="shared" si="26" ref="D63:N63">D66</f>
        <v>0</v>
      </c>
      <c r="E63" s="1027">
        <f t="shared" si="26"/>
        <v>62457</v>
      </c>
      <c r="F63" s="1026">
        <f t="shared" si="26"/>
        <v>1881.579582</v>
      </c>
      <c r="G63" s="369">
        <f t="shared" si="26"/>
        <v>0</v>
      </c>
      <c r="H63" s="1024">
        <f t="shared" si="26"/>
        <v>0</v>
      </c>
      <c r="I63" s="1025">
        <f t="shared" si="26"/>
        <v>0</v>
      </c>
      <c r="J63" s="1025">
        <f t="shared" si="26"/>
        <v>0</v>
      </c>
      <c r="K63" s="1025">
        <f t="shared" si="26"/>
        <v>0</v>
      </c>
      <c r="L63" s="1025">
        <f t="shared" si="26"/>
        <v>0</v>
      </c>
      <c r="M63" s="1025">
        <f t="shared" si="26"/>
        <v>0</v>
      </c>
      <c r="N63" s="1025">
        <f t="shared" si="26"/>
        <v>0</v>
      </c>
      <c r="O63" s="1025">
        <f t="shared" si="20"/>
        <v>0</v>
      </c>
      <c r="P63" s="1026">
        <f t="shared" si="20"/>
        <v>0</v>
      </c>
      <c r="Q63" s="1024">
        <f t="shared" si="21"/>
        <v>0</v>
      </c>
      <c r="R63" s="1023">
        <f t="shared" si="21"/>
        <v>0</v>
      </c>
      <c r="S63" s="1022">
        <f t="shared" si="22"/>
        <v>0</v>
      </c>
      <c r="T63" s="1025">
        <f t="shared" si="22"/>
        <v>0</v>
      </c>
      <c r="U63" s="1025">
        <f t="shared" si="22"/>
        <v>0</v>
      </c>
      <c r="V63" s="1026">
        <f t="shared" si="22"/>
        <v>0</v>
      </c>
    </row>
    <row r="64" spans="1:22" s="49" customFormat="1" ht="15" customHeight="1">
      <c r="A64" s="1047"/>
      <c r="B64" s="1048" t="s">
        <v>8</v>
      </c>
      <c r="C64" s="1049">
        <f t="shared" si="18"/>
        <v>0</v>
      </c>
      <c r="D64" s="1511">
        <f aca="true" t="shared" si="27" ref="D64:N64">D67</f>
        <v>0</v>
      </c>
      <c r="E64" s="1054">
        <f t="shared" si="27"/>
        <v>91757</v>
      </c>
      <c r="F64" s="1053">
        <f t="shared" si="27"/>
        <v>2764.2713820000004</v>
      </c>
      <c r="G64" s="1084">
        <f t="shared" si="27"/>
        <v>0</v>
      </c>
      <c r="H64" s="1051">
        <f t="shared" si="27"/>
        <v>0</v>
      </c>
      <c r="I64" s="1052">
        <f t="shared" si="27"/>
        <v>0</v>
      </c>
      <c r="J64" s="1052">
        <f t="shared" si="27"/>
        <v>0</v>
      </c>
      <c r="K64" s="1052">
        <f t="shared" si="27"/>
        <v>0</v>
      </c>
      <c r="L64" s="1052">
        <f t="shared" si="27"/>
        <v>0</v>
      </c>
      <c r="M64" s="1052">
        <f t="shared" si="27"/>
        <v>0</v>
      </c>
      <c r="N64" s="1052">
        <f t="shared" si="27"/>
        <v>0</v>
      </c>
      <c r="O64" s="1052">
        <f t="shared" si="20"/>
        <v>0</v>
      </c>
      <c r="P64" s="1053">
        <f t="shared" si="20"/>
        <v>0</v>
      </c>
      <c r="Q64" s="1051">
        <f t="shared" si="21"/>
        <v>0</v>
      </c>
      <c r="R64" s="1050">
        <f t="shared" si="21"/>
        <v>0</v>
      </c>
      <c r="S64" s="1049">
        <f t="shared" si="22"/>
        <v>0</v>
      </c>
      <c r="T64" s="1052">
        <f t="shared" si="22"/>
        <v>0</v>
      </c>
      <c r="U64" s="1052">
        <f t="shared" si="22"/>
        <v>0</v>
      </c>
      <c r="V64" s="1053">
        <f t="shared" si="22"/>
        <v>0</v>
      </c>
    </row>
    <row r="65" spans="1:22" s="26" customFormat="1" ht="15" customHeight="1">
      <c r="A65" s="219"/>
      <c r="B65" s="1366" t="s">
        <v>6</v>
      </c>
      <c r="C65" s="855">
        <f>SUM(C66:C67)</f>
        <v>0</v>
      </c>
      <c r="D65" s="1528">
        <f>SUM(D66:D67)</f>
        <v>0</v>
      </c>
      <c r="E65" s="1835">
        <f>SUM(E66:E67)</f>
        <v>154214</v>
      </c>
      <c r="F65" s="1384">
        <f>SUM(F66:F67)</f>
        <v>4645.850964</v>
      </c>
      <c r="G65" s="1382">
        <f aca="true" t="shared" si="28" ref="G65:N65">SUM(G66:G67)</f>
        <v>0</v>
      </c>
      <c r="H65" s="1254">
        <f t="shared" si="28"/>
        <v>0</v>
      </c>
      <c r="I65" s="1383">
        <f t="shared" si="28"/>
        <v>0</v>
      </c>
      <c r="J65" s="1383">
        <f t="shared" si="28"/>
        <v>0</v>
      </c>
      <c r="K65" s="1383">
        <f t="shared" si="28"/>
        <v>0</v>
      </c>
      <c r="L65" s="1383">
        <f t="shared" si="28"/>
        <v>0</v>
      </c>
      <c r="M65" s="1383">
        <f t="shared" si="28"/>
        <v>0</v>
      </c>
      <c r="N65" s="1383">
        <f t="shared" si="28"/>
        <v>0</v>
      </c>
      <c r="O65" s="1383">
        <f aca="true" t="shared" si="29" ref="O65:V65">SUM(O66:O67)</f>
        <v>0</v>
      </c>
      <c r="P65" s="1384">
        <f t="shared" si="29"/>
        <v>0</v>
      </c>
      <c r="Q65" s="1254">
        <f t="shared" si="29"/>
        <v>0</v>
      </c>
      <c r="R65" s="1255">
        <f t="shared" si="29"/>
        <v>0</v>
      </c>
      <c r="S65" s="2418">
        <f t="shared" si="29"/>
        <v>0</v>
      </c>
      <c r="T65" s="1383">
        <f t="shared" si="29"/>
        <v>0</v>
      </c>
      <c r="U65" s="1383">
        <f t="shared" si="29"/>
        <v>0</v>
      </c>
      <c r="V65" s="1384">
        <f t="shared" si="29"/>
        <v>0</v>
      </c>
    </row>
    <row r="66" spans="1:22" s="26" customFormat="1" ht="15" customHeight="1">
      <c r="A66" s="219"/>
      <c r="B66" s="834" t="s">
        <v>340</v>
      </c>
      <c r="C66" s="883"/>
      <c r="D66" s="2305"/>
      <c r="E66" s="861">
        <v>62457</v>
      </c>
      <c r="F66" s="207">
        <f>(E66*30.126)/1000</f>
        <v>1881.579582</v>
      </c>
      <c r="G66" s="1273"/>
      <c r="H66" s="38"/>
      <c r="I66" s="14"/>
      <c r="J66" s="14"/>
      <c r="K66" s="14"/>
      <c r="L66" s="14"/>
      <c r="M66" s="14"/>
      <c r="N66" s="14"/>
      <c r="O66" s="14"/>
      <c r="P66" s="207"/>
      <c r="Q66" s="38"/>
      <c r="R66" s="39"/>
      <c r="S66" s="855"/>
      <c r="T66" s="14"/>
      <c r="U66" s="14"/>
      <c r="V66" s="207"/>
    </row>
    <row r="67" spans="1:22" s="25" customFormat="1" ht="15" customHeight="1" thickBot="1">
      <c r="A67" s="1385"/>
      <c r="B67" s="1073" t="s">
        <v>341</v>
      </c>
      <c r="C67" s="1296"/>
      <c r="D67" s="2368"/>
      <c r="E67" s="1836">
        <v>91757</v>
      </c>
      <c r="F67" s="1282">
        <f>(E67*30.126)/1000</f>
        <v>2764.2713820000004</v>
      </c>
      <c r="G67" s="1279"/>
      <c r="H67" s="1280"/>
      <c r="I67" s="1281"/>
      <c r="J67" s="1281"/>
      <c r="K67" s="1281"/>
      <c r="L67" s="1281"/>
      <c r="M67" s="1281"/>
      <c r="N67" s="1281"/>
      <c r="O67" s="1281"/>
      <c r="P67" s="1282"/>
      <c r="Q67" s="1277"/>
      <c r="R67" s="1278"/>
      <c r="S67" s="2379"/>
      <c r="T67" s="1281"/>
      <c r="U67" s="1281"/>
      <c r="V67" s="1282"/>
    </row>
    <row r="68" spans="1:4" s="6" customFormat="1" ht="19.5" customHeight="1" thickBot="1">
      <c r="A68" s="16"/>
      <c r="C68" s="275"/>
      <c r="D68" s="275"/>
    </row>
    <row r="69" spans="1:22" s="23" customFormat="1" ht="39.75" customHeight="1" thickTop="1">
      <c r="A69" s="2884"/>
      <c r="B69" s="2885"/>
      <c r="C69" s="539" t="s">
        <v>506</v>
      </c>
      <c r="D69" s="2314" t="s">
        <v>507</v>
      </c>
      <c r="E69" s="2890" t="s">
        <v>184</v>
      </c>
      <c r="F69" s="2891"/>
      <c r="G69" s="460" t="s">
        <v>510</v>
      </c>
      <c r="H69" s="496" t="s">
        <v>510</v>
      </c>
      <c r="I69" s="497" t="s">
        <v>87</v>
      </c>
      <c r="J69" s="497" t="s">
        <v>87</v>
      </c>
      <c r="K69" s="2870" t="s">
        <v>509</v>
      </c>
      <c r="L69" s="2870"/>
      <c r="M69" s="2870" t="s">
        <v>508</v>
      </c>
      <c r="N69" s="2870"/>
      <c r="O69" s="498" t="s">
        <v>952</v>
      </c>
      <c r="P69" s="484" t="s">
        <v>952</v>
      </c>
      <c r="Q69" s="2948" t="s">
        <v>183</v>
      </c>
      <c r="R69" s="2949"/>
      <c r="S69" s="2892" t="s">
        <v>725</v>
      </c>
      <c r="T69" s="2875"/>
      <c r="U69" s="2875" t="s">
        <v>726</v>
      </c>
      <c r="V69" s="2878"/>
    </row>
    <row r="70" spans="1:22" s="24" customFormat="1" ht="15" customHeight="1" thickBot="1">
      <c r="A70" s="2886"/>
      <c r="B70" s="2887"/>
      <c r="C70" s="540" t="s">
        <v>966</v>
      </c>
      <c r="D70" s="2315" t="s">
        <v>966</v>
      </c>
      <c r="E70" s="2318" t="s">
        <v>435</v>
      </c>
      <c r="F70" s="2234" t="s">
        <v>966</v>
      </c>
      <c r="G70" s="461" t="s">
        <v>435</v>
      </c>
      <c r="H70" s="352" t="s">
        <v>966</v>
      </c>
      <c r="I70" s="499" t="s">
        <v>435</v>
      </c>
      <c r="J70" s="499" t="s">
        <v>966</v>
      </c>
      <c r="K70" s="241" t="s">
        <v>435</v>
      </c>
      <c r="L70" s="241" t="s">
        <v>966</v>
      </c>
      <c r="M70" s="241" t="s">
        <v>435</v>
      </c>
      <c r="N70" s="241" t="s">
        <v>966</v>
      </c>
      <c r="O70" s="500" t="s">
        <v>435</v>
      </c>
      <c r="P70" s="501" t="s">
        <v>966</v>
      </c>
      <c r="Q70" s="2250" t="s">
        <v>435</v>
      </c>
      <c r="R70" s="975" t="s">
        <v>966</v>
      </c>
      <c r="S70" s="797" t="s">
        <v>435</v>
      </c>
      <c r="T70" s="241" t="s">
        <v>966</v>
      </c>
      <c r="U70" s="241" t="s">
        <v>435</v>
      </c>
      <c r="V70" s="796" t="s">
        <v>966</v>
      </c>
    </row>
    <row r="71" spans="1:22" s="23" customFormat="1" ht="19.5" customHeight="1">
      <c r="A71" s="1341" t="s">
        <v>361</v>
      </c>
      <c r="B71" s="1342" t="s">
        <v>48</v>
      </c>
      <c r="C71" s="541">
        <f aca="true" t="shared" si="30" ref="C71:V71">C4+C59</f>
        <v>28843</v>
      </c>
      <c r="D71" s="1606">
        <f t="shared" si="30"/>
        <v>21231</v>
      </c>
      <c r="E71" s="2319">
        <f t="shared" si="30"/>
        <v>713807</v>
      </c>
      <c r="F71" s="2320">
        <f t="shared" si="30"/>
        <v>21504.149682</v>
      </c>
      <c r="G71" s="493">
        <f t="shared" si="30"/>
        <v>481317</v>
      </c>
      <c r="H71" s="502">
        <f t="shared" si="30"/>
        <v>14500.155942000001</v>
      </c>
      <c r="I71" s="487">
        <f t="shared" si="30"/>
        <v>469699</v>
      </c>
      <c r="J71" s="487">
        <f t="shared" si="30"/>
        <v>14150.152073999998</v>
      </c>
      <c r="K71" s="487">
        <f t="shared" si="30"/>
        <v>421564</v>
      </c>
      <c r="L71" s="487">
        <f t="shared" si="30"/>
        <v>12700.037064</v>
      </c>
      <c r="M71" s="487">
        <f t="shared" si="30"/>
        <v>599151</v>
      </c>
      <c r="N71" s="487">
        <f t="shared" si="30"/>
        <v>18050.023026000003</v>
      </c>
      <c r="O71" s="487">
        <f t="shared" si="30"/>
        <v>419907</v>
      </c>
      <c r="P71" s="503">
        <f t="shared" si="30"/>
        <v>12650.118281999996</v>
      </c>
      <c r="Q71" s="2389">
        <f t="shared" si="30"/>
        <v>481629</v>
      </c>
      <c r="R71" s="2390">
        <f t="shared" si="30"/>
        <v>14509.555253999999</v>
      </c>
      <c r="S71" s="541">
        <f t="shared" si="30"/>
        <v>419907</v>
      </c>
      <c r="T71" s="487">
        <f t="shared" si="30"/>
        <v>12650.118282</v>
      </c>
      <c r="U71" s="487">
        <f t="shared" si="30"/>
        <v>419907</v>
      </c>
      <c r="V71" s="503">
        <f t="shared" si="30"/>
        <v>12650.118282</v>
      </c>
    </row>
    <row r="72" spans="1:22" s="30" customFormat="1" ht="15" customHeight="1">
      <c r="A72" s="1343"/>
      <c r="B72" s="1344" t="s">
        <v>965</v>
      </c>
      <c r="C72" s="542">
        <f>C6</f>
        <v>9531</v>
      </c>
      <c r="D72" s="1607">
        <f aca="true" t="shared" si="31" ref="D72:N72">D6</f>
        <v>10361</v>
      </c>
      <c r="E72" s="2321">
        <f t="shared" si="31"/>
        <v>369391</v>
      </c>
      <c r="F72" s="2322">
        <f t="shared" si="31"/>
        <v>11128.273265999998</v>
      </c>
      <c r="G72" s="494">
        <f t="shared" si="31"/>
        <v>383395</v>
      </c>
      <c r="H72" s="504">
        <f t="shared" si="31"/>
        <v>11550.15777</v>
      </c>
      <c r="I72" s="489">
        <f t="shared" si="31"/>
        <v>371777</v>
      </c>
      <c r="J72" s="489">
        <f t="shared" si="31"/>
        <v>11200.153901999998</v>
      </c>
      <c r="K72" s="489">
        <f t="shared" si="31"/>
        <v>404966</v>
      </c>
      <c r="L72" s="489">
        <f t="shared" si="31"/>
        <v>12200.005716</v>
      </c>
      <c r="M72" s="489">
        <f t="shared" si="31"/>
        <v>448118</v>
      </c>
      <c r="N72" s="489">
        <f t="shared" si="31"/>
        <v>13500.002868000001</v>
      </c>
      <c r="O72" s="489">
        <f aca="true" t="shared" si="32" ref="O72:V72">O6</f>
        <v>335263</v>
      </c>
      <c r="P72" s="505">
        <f t="shared" si="32"/>
        <v>10100.133137999997</v>
      </c>
      <c r="Q72" s="2419">
        <f t="shared" si="32"/>
        <v>326985</v>
      </c>
      <c r="R72" s="2420">
        <f t="shared" si="32"/>
        <v>9850.750109999999</v>
      </c>
      <c r="S72" s="542">
        <f t="shared" si="32"/>
        <v>335263</v>
      </c>
      <c r="T72" s="489">
        <f t="shared" si="32"/>
        <v>10100.133138000001</v>
      </c>
      <c r="U72" s="489">
        <f t="shared" si="32"/>
        <v>335263</v>
      </c>
      <c r="V72" s="505">
        <f t="shared" si="32"/>
        <v>10100.133138000001</v>
      </c>
    </row>
    <row r="73" spans="1:22" s="30" customFormat="1" ht="15" customHeight="1" thickBot="1">
      <c r="A73" s="1345"/>
      <c r="B73" s="1346" t="s">
        <v>967</v>
      </c>
      <c r="C73" s="543">
        <f>C36+C40+C62</f>
        <v>19312</v>
      </c>
      <c r="D73" s="1608">
        <f aca="true" t="shared" si="33" ref="D73:N73">D36+D40+D62</f>
        <v>10870</v>
      </c>
      <c r="E73" s="2323">
        <f t="shared" si="33"/>
        <v>344416</v>
      </c>
      <c r="F73" s="2324">
        <f t="shared" si="33"/>
        <v>10375.876416</v>
      </c>
      <c r="G73" s="495">
        <f t="shared" si="33"/>
        <v>97922</v>
      </c>
      <c r="H73" s="506">
        <f t="shared" si="33"/>
        <v>2949.998172</v>
      </c>
      <c r="I73" s="491">
        <f t="shared" si="33"/>
        <v>97922</v>
      </c>
      <c r="J73" s="491">
        <f t="shared" si="33"/>
        <v>2949.998172</v>
      </c>
      <c r="K73" s="491">
        <f t="shared" si="33"/>
        <v>16598</v>
      </c>
      <c r="L73" s="491">
        <f t="shared" si="33"/>
        <v>500.031348</v>
      </c>
      <c r="M73" s="491">
        <f t="shared" si="33"/>
        <v>151033</v>
      </c>
      <c r="N73" s="491">
        <f t="shared" si="33"/>
        <v>4550.020157999999</v>
      </c>
      <c r="O73" s="491">
        <f aca="true" t="shared" si="34" ref="O73:V73">O36+O40+O62</f>
        <v>84644</v>
      </c>
      <c r="P73" s="507">
        <f t="shared" si="34"/>
        <v>2549.985144</v>
      </c>
      <c r="Q73" s="2391">
        <f t="shared" si="34"/>
        <v>154644</v>
      </c>
      <c r="R73" s="2392">
        <f t="shared" si="34"/>
        <v>4658.805144000001</v>
      </c>
      <c r="S73" s="543">
        <f t="shared" si="34"/>
        <v>84644</v>
      </c>
      <c r="T73" s="491">
        <f t="shared" si="34"/>
        <v>2549.985144</v>
      </c>
      <c r="U73" s="491">
        <f t="shared" si="34"/>
        <v>84644</v>
      </c>
      <c r="V73" s="507">
        <f t="shared" si="34"/>
        <v>2549.985144</v>
      </c>
    </row>
    <row r="75" ht="12.75" hidden="1">
      <c r="A75" s="449" t="s">
        <v>582</v>
      </c>
    </row>
    <row r="76" spans="1:22" ht="12.75" hidden="1">
      <c r="A76" s="12" t="s">
        <v>399</v>
      </c>
      <c r="B76" s="12" t="s">
        <v>873</v>
      </c>
      <c r="O76" s="4">
        <v>13278</v>
      </c>
      <c r="P76" s="4">
        <f>O76*30.126/1000</f>
        <v>400.01302799999996</v>
      </c>
      <c r="Q76" s="4">
        <v>13278</v>
      </c>
      <c r="R76" s="4">
        <f>Q76*30.126/1000</f>
        <v>400.01302799999996</v>
      </c>
      <c r="S76" s="4"/>
      <c r="T76" s="4"/>
      <c r="U76" s="4"/>
      <c r="V76" s="4"/>
    </row>
    <row r="77" ht="12.75" hidden="1"/>
    <row r="78" ht="12.75" hidden="1"/>
  </sheetData>
  <sheetProtection/>
  <mergeCells count="30">
    <mergeCell ref="I28:I29"/>
    <mergeCell ref="K57:L57"/>
    <mergeCell ref="M57:N57"/>
    <mergeCell ref="M28:M29"/>
    <mergeCell ref="A2:B3"/>
    <mergeCell ref="M2:N2"/>
    <mergeCell ref="K2:L2"/>
    <mergeCell ref="E2:F2"/>
    <mergeCell ref="A69:B70"/>
    <mergeCell ref="D28:D29"/>
    <mergeCell ref="E28:E29"/>
    <mergeCell ref="F28:F29"/>
    <mergeCell ref="E69:F69"/>
    <mergeCell ref="E57:F57"/>
    <mergeCell ref="A57:B58"/>
    <mergeCell ref="Q2:R2"/>
    <mergeCell ref="Q57:R57"/>
    <mergeCell ref="U2:V2"/>
    <mergeCell ref="U28:U29"/>
    <mergeCell ref="U57:V57"/>
    <mergeCell ref="S57:T57"/>
    <mergeCell ref="S2:T2"/>
    <mergeCell ref="S28:S29"/>
    <mergeCell ref="O28:O29"/>
    <mergeCell ref="U69:V69"/>
    <mergeCell ref="K69:L69"/>
    <mergeCell ref="M69:N69"/>
    <mergeCell ref="Q69:R69"/>
    <mergeCell ref="S69:T69"/>
    <mergeCell ref="N28:N29"/>
  </mergeCells>
  <printOptions horizontalCentered="1"/>
  <pageMargins left="0" right="0.7874015748031497" top="1.03" bottom="0.7874015748031497" header="0" footer="0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A1:V8"/>
  <sheetViews>
    <sheetView showGridLines="0" zoomScalePageLayoutView="0" workbookViewId="0" topLeftCell="A1">
      <pane xSplit="2" ySplit="3" topLeftCell="C4" activePane="bottomRight" state="frozen"/>
      <selection pane="topLeft" activeCell="A39" sqref="A39:IV39"/>
      <selection pane="topRight" activeCell="A39" sqref="A39:IV39"/>
      <selection pane="bottomLeft" activeCell="A39" sqref="A39:IV39"/>
      <selection pane="bottomRight" activeCell="F15" sqref="F15"/>
    </sheetView>
  </sheetViews>
  <sheetFormatPr defaultColWidth="9.140625" defaultRowHeight="12.75"/>
  <cols>
    <col min="1" max="1" width="7.7109375" style="3" customWidth="1"/>
    <col min="2" max="2" width="54.8515625" style="3" customWidth="1"/>
    <col min="3" max="4" width="10.7109375" style="3" hidden="1" customWidth="1"/>
    <col min="5" max="6" width="10.7109375" style="3" customWidth="1"/>
    <col min="7" max="16" width="10.7109375" style="3" hidden="1" customWidth="1"/>
    <col min="17" max="22" width="10.7109375" style="3" customWidth="1"/>
    <col min="23" max="16384" width="9.140625" style="3" customWidth="1"/>
  </cols>
  <sheetData>
    <row r="1" spans="1:18" ht="21" hidden="1" thickBot="1" thickTop="1">
      <c r="A1" s="237" t="s">
        <v>1122</v>
      </c>
      <c r="Q1" s="2408"/>
      <c r="R1" s="2409"/>
    </row>
    <row r="2" spans="1:22" s="30" customFormat="1" ht="39.75" customHeight="1">
      <c r="A2" s="2952"/>
      <c r="B2" s="2953"/>
      <c r="C2" s="776" t="s">
        <v>506</v>
      </c>
      <c r="D2" s="452" t="s">
        <v>507</v>
      </c>
      <c r="E2" s="2890" t="s">
        <v>184</v>
      </c>
      <c r="F2" s="2891"/>
      <c r="G2" s="570" t="s">
        <v>510</v>
      </c>
      <c r="H2" s="473" t="s">
        <v>510</v>
      </c>
      <c r="I2" s="474" t="s">
        <v>87</v>
      </c>
      <c r="J2" s="474" t="s">
        <v>87</v>
      </c>
      <c r="K2" s="2871" t="s">
        <v>509</v>
      </c>
      <c r="L2" s="2871"/>
      <c r="M2" s="2871" t="s">
        <v>508</v>
      </c>
      <c r="N2" s="2871"/>
      <c r="O2" s="475" t="s">
        <v>952</v>
      </c>
      <c r="P2" s="767" t="s">
        <v>952</v>
      </c>
      <c r="Q2" s="2876" t="s">
        <v>183</v>
      </c>
      <c r="R2" s="2924"/>
      <c r="S2" s="2880" t="s">
        <v>725</v>
      </c>
      <c r="T2" s="2877"/>
      <c r="U2" s="2877" t="s">
        <v>726</v>
      </c>
      <c r="V2" s="2879"/>
    </row>
    <row r="3" spans="1:22" s="24" customFormat="1" ht="15" customHeight="1" thickBot="1">
      <c r="A3" s="2954"/>
      <c r="B3" s="2955"/>
      <c r="C3" s="777" t="s">
        <v>966</v>
      </c>
      <c r="D3" s="453" t="s">
        <v>966</v>
      </c>
      <c r="E3" s="768" t="s">
        <v>435</v>
      </c>
      <c r="F3" s="307" t="s">
        <v>966</v>
      </c>
      <c r="G3" s="461" t="s">
        <v>435</v>
      </c>
      <c r="H3" s="346" t="s">
        <v>966</v>
      </c>
      <c r="I3" s="450" t="s">
        <v>435</v>
      </c>
      <c r="J3" s="450" t="s">
        <v>966</v>
      </c>
      <c r="K3" s="239" t="s">
        <v>435</v>
      </c>
      <c r="L3" s="239" t="s">
        <v>966</v>
      </c>
      <c r="M3" s="239" t="s">
        <v>435</v>
      </c>
      <c r="N3" s="239" t="s">
        <v>966</v>
      </c>
      <c r="O3" s="451" t="s">
        <v>435</v>
      </c>
      <c r="P3" s="765" t="s">
        <v>966</v>
      </c>
      <c r="Q3" s="238" t="s">
        <v>435</v>
      </c>
      <c r="R3" s="993" t="s">
        <v>966</v>
      </c>
      <c r="S3" s="2117" t="s">
        <v>435</v>
      </c>
      <c r="T3" s="239" t="s">
        <v>966</v>
      </c>
      <c r="U3" s="239" t="s">
        <v>435</v>
      </c>
      <c r="V3" s="307" t="s">
        <v>966</v>
      </c>
    </row>
    <row r="4" spans="1:22" s="23" customFormat="1" ht="19.5" customHeight="1">
      <c r="A4" s="235">
        <v>18</v>
      </c>
      <c r="B4" s="830" t="s">
        <v>1067</v>
      </c>
      <c r="C4" s="921">
        <f>C5+C7</f>
        <v>5081</v>
      </c>
      <c r="D4" s="2361">
        <f>D5+D7</f>
        <v>7745</v>
      </c>
      <c r="E4" s="850">
        <f>E5+E7</f>
        <v>116179</v>
      </c>
      <c r="F4" s="665">
        <f>F5+F7</f>
        <v>3500.008554</v>
      </c>
      <c r="G4" s="530">
        <f aca="true" t="shared" si="0" ref="G4:N4">G5+G7</f>
        <v>116179</v>
      </c>
      <c r="H4" s="107">
        <f t="shared" si="0"/>
        <v>3500.008554</v>
      </c>
      <c r="I4" s="109">
        <f t="shared" si="0"/>
        <v>116179</v>
      </c>
      <c r="J4" s="109">
        <f t="shared" si="0"/>
        <v>3500.008554</v>
      </c>
      <c r="K4" s="109">
        <f t="shared" si="0"/>
        <v>116179</v>
      </c>
      <c r="L4" s="109">
        <f t="shared" si="0"/>
        <v>3500.008554</v>
      </c>
      <c r="M4" s="109">
        <f t="shared" si="0"/>
        <v>116179</v>
      </c>
      <c r="N4" s="109">
        <f t="shared" si="0"/>
        <v>3500.008554</v>
      </c>
      <c r="O4" s="109">
        <f aca="true" t="shared" si="1" ref="O4:V4">O5+O7</f>
        <v>116179</v>
      </c>
      <c r="P4" s="454">
        <f t="shared" si="1"/>
        <v>3500.008554</v>
      </c>
      <c r="Q4" s="107">
        <f t="shared" si="1"/>
        <v>116179</v>
      </c>
      <c r="R4" s="108">
        <f t="shared" si="1"/>
        <v>3500.008554</v>
      </c>
      <c r="S4" s="778">
        <f t="shared" si="1"/>
        <v>116179</v>
      </c>
      <c r="T4" s="109">
        <f t="shared" si="1"/>
        <v>3500.008554</v>
      </c>
      <c r="U4" s="109">
        <f t="shared" si="1"/>
        <v>116179</v>
      </c>
      <c r="V4" s="665">
        <f t="shared" si="1"/>
        <v>3500.008554</v>
      </c>
    </row>
    <row r="5" spans="1:22" s="30" customFormat="1" ht="19.5" customHeight="1">
      <c r="A5" s="231" t="s">
        <v>1068</v>
      </c>
      <c r="B5" s="832" t="s">
        <v>965</v>
      </c>
      <c r="C5" s="922">
        <f>C6</f>
        <v>3601</v>
      </c>
      <c r="D5" s="2362">
        <f>D6</f>
        <v>5485</v>
      </c>
      <c r="E5" s="770">
        <f>E6</f>
        <v>116179</v>
      </c>
      <c r="F5" s="480">
        <f>F6</f>
        <v>3500.008554</v>
      </c>
      <c r="G5" s="463">
        <f>G6</f>
        <v>116179</v>
      </c>
      <c r="H5" s="447">
        <f aca="true" t="shared" si="2" ref="H5:R5">H6</f>
        <v>3500.008554</v>
      </c>
      <c r="I5" s="29">
        <f t="shared" si="2"/>
        <v>116179</v>
      </c>
      <c r="J5" s="29">
        <f t="shared" si="2"/>
        <v>3500.008554</v>
      </c>
      <c r="K5" s="29">
        <f t="shared" si="2"/>
        <v>116179</v>
      </c>
      <c r="L5" s="29">
        <f t="shared" si="2"/>
        <v>3500.008554</v>
      </c>
      <c r="M5" s="29">
        <f t="shared" si="2"/>
        <v>116179</v>
      </c>
      <c r="N5" s="29">
        <f t="shared" si="2"/>
        <v>3500.008554</v>
      </c>
      <c r="O5" s="29">
        <f t="shared" si="2"/>
        <v>116179</v>
      </c>
      <c r="P5" s="456">
        <f t="shared" si="2"/>
        <v>3500.008554</v>
      </c>
      <c r="Q5" s="20">
        <f t="shared" si="2"/>
        <v>116179</v>
      </c>
      <c r="R5" s="18">
        <f t="shared" si="2"/>
        <v>3500.008554</v>
      </c>
      <c r="S5" s="780">
        <v>116179</v>
      </c>
      <c r="T5" s="29">
        <f>S5*30.126/1000</f>
        <v>3500.008554</v>
      </c>
      <c r="U5" s="29">
        <v>116179</v>
      </c>
      <c r="V5" s="480">
        <f>U5*30.126/1000</f>
        <v>3500.008554</v>
      </c>
    </row>
    <row r="6" spans="1:22" s="6" customFormat="1" ht="15" customHeight="1" thickBot="1">
      <c r="A6" s="232"/>
      <c r="B6" s="1445" t="s">
        <v>1069</v>
      </c>
      <c r="C6" s="1443">
        <v>3601</v>
      </c>
      <c r="D6" s="2405">
        <v>5485</v>
      </c>
      <c r="E6" s="1839">
        <v>116179</v>
      </c>
      <c r="F6" s="1841">
        <f>(E6*30.126)/1000</f>
        <v>3500.008554</v>
      </c>
      <c r="G6" s="741">
        <v>116179</v>
      </c>
      <c r="H6" s="738">
        <f>G6*30.126/1000</f>
        <v>3500.008554</v>
      </c>
      <c r="I6" s="739">
        <v>116179</v>
      </c>
      <c r="J6" s="739">
        <f>I6*30.126/1000</f>
        <v>3500.008554</v>
      </c>
      <c r="K6" s="739">
        <v>116179</v>
      </c>
      <c r="L6" s="739">
        <f>K6*30.126/1000</f>
        <v>3500.008554</v>
      </c>
      <c r="M6" s="739">
        <v>116179</v>
      </c>
      <c r="N6" s="740">
        <f>M6*30.126/1000</f>
        <v>3500.008554</v>
      </c>
      <c r="O6" s="739">
        <v>116179</v>
      </c>
      <c r="P6" s="2406">
        <f>O6*30.126/1000</f>
        <v>3500.008554</v>
      </c>
      <c r="Q6" s="1837">
        <v>116179</v>
      </c>
      <c r="R6" s="1838">
        <f>Q6*30.126/1000</f>
        <v>3500.008554</v>
      </c>
      <c r="S6" s="2407"/>
      <c r="T6" s="1840"/>
      <c r="U6" s="1840"/>
      <c r="V6" s="1841"/>
    </row>
    <row r="7" spans="1:22" s="30" customFormat="1" ht="19.5" customHeight="1" hidden="1">
      <c r="A7" s="231" t="s">
        <v>1070</v>
      </c>
      <c r="B7" s="832" t="s">
        <v>967</v>
      </c>
      <c r="C7" s="922">
        <f>C8</f>
        <v>1480</v>
      </c>
      <c r="D7" s="295">
        <f>D8</f>
        <v>2260</v>
      </c>
      <c r="E7" s="62">
        <f>E8</f>
        <v>0</v>
      </c>
      <c r="F7" s="63">
        <f>F8</f>
        <v>0</v>
      </c>
      <c r="G7" s="464"/>
      <c r="H7" s="20"/>
      <c r="I7" s="29"/>
      <c r="J7" s="29"/>
      <c r="K7" s="29"/>
      <c r="L7" s="29"/>
      <c r="M7" s="29"/>
      <c r="N7" s="29"/>
      <c r="O7" s="29"/>
      <c r="P7" s="480"/>
      <c r="Q7" s="589">
        <v>0</v>
      </c>
      <c r="R7" s="752">
        <v>0</v>
      </c>
      <c r="S7" s="589">
        <v>0</v>
      </c>
      <c r="T7" s="752">
        <v>0</v>
      </c>
      <c r="U7" s="589">
        <v>0</v>
      </c>
      <c r="V7" s="752">
        <v>0</v>
      </c>
    </row>
    <row r="8" spans="1:22" s="6" customFormat="1" ht="15" customHeight="1" hidden="1" thickBot="1">
      <c r="A8" s="233"/>
      <c r="B8" s="1446" t="s">
        <v>1071</v>
      </c>
      <c r="C8" s="1444">
        <v>1480</v>
      </c>
      <c r="D8" s="303">
        <v>2260</v>
      </c>
      <c r="E8" s="1447"/>
      <c r="F8" s="1448"/>
      <c r="G8" s="742"/>
      <c r="H8" s="482"/>
      <c r="I8" s="234"/>
      <c r="J8" s="234"/>
      <c r="K8" s="234"/>
      <c r="L8" s="234"/>
      <c r="M8" s="234"/>
      <c r="N8" s="234"/>
      <c r="O8" s="234"/>
      <c r="P8" s="483"/>
      <c r="Q8" s="234"/>
      <c r="R8" s="483"/>
      <c r="S8" s="234"/>
      <c r="T8" s="483"/>
      <c r="U8" s="234"/>
      <c r="V8" s="483"/>
    </row>
    <row r="9" ht="15.75" customHeight="1"/>
    <row r="10" ht="15.75" customHeight="1"/>
  </sheetData>
  <sheetProtection/>
  <mergeCells count="7">
    <mergeCell ref="Q2:R2"/>
    <mergeCell ref="U2:V2"/>
    <mergeCell ref="M2:N2"/>
    <mergeCell ref="A2:B3"/>
    <mergeCell ref="K2:L2"/>
    <mergeCell ref="E2:F2"/>
    <mergeCell ref="S2:T2"/>
  </mergeCells>
  <printOptions horizontalCentered="1"/>
  <pageMargins left="0" right="0.7874015748031497" top="1.1811023622047245" bottom="0.1968503937007874" header="0" footer="0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A1:V46"/>
  <sheetViews>
    <sheetView showGridLines="0" zoomScalePageLayoutView="0" workbookViewId="0" topLeftCell="A1">
      <pane xSplit="2" ySplit="3" topLeftCell="C34" activePane="bottomRight" state="frozen"/>
      <selection pane="topLeft" activeCell="A39" sqref="A39:IV39"/>
      <selection pane="topRight" activeCell="A39" sqref="A39:IV39"/>
      <selection pane="bottomLeft" activeCell="A39" sqref="A39:IV39"/>
      <selection pane="bottomRight" activeCell="E44" sqref="E44"/>
    </sheetView>
  </sheetViews>
  <sheetFormatPr defaultColWidth="9.140625" defaultRowHeight="12.75"/>
  <cols>
    <col min="1" max="1" width="7.7109375" style="12" customWidth="1"/>
    <col min="2" max="2" width="57.28125" style="3" customWidth="1"/>
    <col min="3" max="4" width="10.7109375" style="3" hidden="1" customWidth="1"/>
    <col min="5" max="6" width="10.7109375" style="6" customWidth="1"/>
    <col min="7" max="13" width="10.7109375" style="6" hidden="1" customWidth="1"/>
    <col min="14" max="14" width="10.7109375" style="3" hidden="1" customWidth="1"/>
    <col min="15" max="16" width="10.7109375" style="6" hidden="1" customWidth="1"/>
    <col min="17" max="22" width="10.7109375" style="6" customWidth="1"/>
    <col min="23" max="16384" width="9.140625" style="3" customWidth="1"/>
  </cols>
  <sheetData>
    <row r="1" spans="1:18" ht="21" hidden="1" thickBot="1" thickTop="1">
      <c r="A1" s="237" t="s">
        <v>1122</v>
      </c>
      <c r="Q1" s="2393"/>
      <c r="R1" s="2394"/>
    </row>
    <row r="2" spans="1:22" s="30" customFormat="1" ht="39.75" customHeight="1">
      <c r="A2" s="2842"/>
      <c r="B2" s="2843"/>
      <c r="C2" s="798" t="s">
        <v>506</v>
      </c>
      <c r="D2" s="1519" t="s">
        <v>507</v>
      </c>
      <c r="E2" s="2890" t="s">
        <v>184</v>
      </c>
      <c r="F2" s="2891"/>
      <c r="G2" s="1173" t="s">
        <v>510</v>
      </c>
      <c r="H2" s="1166" t="s">
        <v>510</v>
      </c>
      <c r="I2" s="1002" t="s">
        <v>87</v>
      </c>
      <c r="J2" s="1002" t="s">
        <v>87</v>
      </c>
      <c r="K2" s="2870" t="s">
        <v>509</v>
      </c>
      <c r="L2" s="2870"/>
      <c r="M2" s="2870" t="s">
        <v>508</v>
      </c>
      <c r="N2" s="2870"/>
      <c r="O2" s="1003" t="s">
        <v>952</v>
      </c>
      <c r="P2" s="1546" t="s">
        <v>952</v>
      </c>
      <c r="Q2" s="2950" t="s">
        <v>183</v>
      </c>
      <c r="R2" s="2951"/>
      <c r="S2" s="2892" t="s">
        <v>725</v>
      </c>
      <c r="T2" s="2875"/>
      <c r="U2" s="2875" t="s">
        <v>726</v>
      </c>
      <c r="V2" s="2878"/>
    </row>
    <row r="3" spans="1:22" s="24" customFormat="1" ht="15" customHeight="1" thickBot="1">
      <c r="A3" s="2930"/>
      <c r="B3" s="2996"/>
      <c r="C3" s="777" t="s">
        <v>966</v>
      </c>
      <c r="D3" s="453" t="s">
        <v>966</v>
      </c>
      <c r="E3" s="768" t="s">
        <v>435</v>
      </c>
      <c r="F3" s="307" t="s">
        <v>966</v>
      </c>
      <c r="G3" s="571" t="s">
        <v>435</v>
      </c>
      <c r="H3" s="240" t="s">
        <v>966</v>
      </c>
      <c r="I3" s="1005" t="s">
        <v>435</v>
      </c>
      <c r="J3" s="1005" t="s">
        <v>966</v>
      </c>
      <c r="K3" s="241" t="s">
        <v>435</v>
      </c>
      <c r="L3" s="241" t="s">
        <v>966</v>
      </c>
      <c r="M3" s="241" t="s">
        <v>435</v>
      </c>
      <c r="N3" s="241" t="s">
        <v>966</v>
      </c>
      <c r="O3" s="1006" t="s">
        <v>435</v>
      </c>
      <c r="P3" s="1547" t="s">
        <v>966</v>
      </c>
      <c r="Q3" s="2250" t="s">
        <v>435</v>
      </c>
      <c r="R3" s="975" t="s">
        <v>966</v>
      </c>
      <c r="S3" s="797" t="s">
        <v>435</v>
      </c>
      <c r="T3" s="241" t="s">
        <v>966</v>
      </c>
      <c r="U3" s="241" t="s">
        <v>435</v>
      </c>
      <c r="V3" s="796" t="s">
        <v>966</v>
      </c>
    </row>
    <row r="4" spans="1:22" s="1" customFormat="1" ht="19.5" customHeight="1">
      <c r="A4" s="110" t="s">
        <v>362</v>
      </c>
      <c r="B4" s="785" t="s">
        <v>1072</v>
      </c>
      <c r="C4" s="921">
        <f aca="true" t="shared" si="0" ref="C4:N4">C5+C19</f>
        <v>33400</v>
      </c>
      <c r="D4" s="2361">
        <f t="shared" si="0"/>
        <v>35152</v>
      </c>
      <c r="E4" s="850">
        <f t="shared" si="0"/>
        <v>1145894</v>
      </c>
      <c r="F4" s="665">
        <f t="shared" si="0"/>
        <v>34521.202644000005</v>
      </c>
      <c r="G4" s="530">
        <f t="shared" si="0"/>
        <v>1261599</v>
      </c>
      <c r="H4" s="242">
        <f t="shared" si="0"/>
        <v>38006.931474000005</v>
      </c>
      <c r="I4" s="243">
        <f t="shared" si="0"/>
        <v>1186263</v>
      </c>
      <c r="J4" s="243">
        <f t="shared" si="0"/>
        <v>35737.359138</v>
      </c>
      <c r="K4" s="243">
        <f t="shared" si="0"/>
        <v>1261599</v>
      </c>
      <c r="L4" s="243">
        <f t="shared" si="0"/>
        <v>38006.931474000005</v>
      </c>
      <c r="M4" s="243">
        <f t="shared" si="0"/>
        <v>1261599</v>
      </c>
      <c r="N4" s="243">
        <f t="shared" si="0"/>
        <v>38006.931474000005</v>
      </c>
      <c r="O4" s="243">
        <f aca="true" t="shared" si="1" ref="O4:V4">O5+O19</f>
        <v>1186263</v>
      </c>
      <c r="P4" s="1548">
        <f t="shared" si="1"/>
        <v>35737.359138</v>
      </c>
      <c r="Q4" s="2395">
        <f t="shared" si="1"/>
        <v>1183852</v>
      </c>
      <c r="R4" s="971">
        <f t="shared" si="1"/>
        <v>35664.725351999994</v>
      </c>
      <c r="S4" s="2380">
        <f t="shared" si="1"/>
        <v>1150359</v>
      </c>
      <c r="T4" s="243">
        <f t="shared" si="1"/>
        <v>34655.715234</v>
      </c>
      <c r="U4" s="243">
        <f t="shared" si="1"/>
        <v>1150359</v>
      </c>
      <c r="V4" s="285">
        <f t="shared" si="1"/>
        <v>34655.715234</v>
      </c>
    </row>
    <row r="5" spans="1:22" s="1" customFormat="1" ht="19.5" customHeight="1">
      <c r="A5" s="112" t="s">
        <v>1089</v>
      </c>
      <c r="B5" s="787" t="s">
        <v>965</v>
      </c>
      <c r="C5" s="922">
        <f>C6+C9+C11+C12+C14</f>
        <v>31089</v>
      </c>
      <c r="D5" s="2362">
        <f aca="true" t="shared" si="2" ref="D5:N5">D6+D9+D11+D12+D14</f>
        <v>33141</v>
      </c>
      <c r="E5" s="2369">
        <f>E6+E8+E9+E11+E12+E14</f>
        <v>1126978</v>
      </c>
      <c r="F5" s="1248">
        <f>F6+F8+F9+F11+F12+F14</f>
        <v>33951.339228000004</v>
      </c>
      <c r="G5" s="595">
        <f t="shared" si="2"/>
        <v>1221767</v>
      </c>
      <c r="H5" s="600">
        <f t="shared" si="2"/>
        <v>36806.952642000004</v>
      </c>
      <c r="I5" s="601">
        <f>I6+I9+I11+I12+I13+I14</f>
        <v>1166014</v>
      </c>
      <c r="J5" s="601">
        <f>J6+J9+J11+J12+J13+J14</f>
        <v>35127.337763999996</v>
      </c>
      <c r="K5" s="601">
        <f t="shared" si="2"/>
        <v>1221767</v>
      </c>
      <c r="L5" s="601">
        <f t="shared" si="2"/>
        <v>36806.952642000004</v>
      </c>
      <c r="M5" s="601">
        <f t="shared" si="2"/>
        <v>1221767</v>
      </c>
      <c r="N5" s="601">
        <f t="shared" si="2"/>
        <v>36806.952642000004</v>
      </c>
      <c r="O5" s="601">
        <f>O6+O9+O11+O12+O13+O14</f>
        <v>1166014</v>
      </c>
      <c r="P5" s="1613">
        <f>P6+P9+P11+P12+P13+P14</f>
        <v>35127.337763999996</v>
      </c>
      <c r="Q5" s="2396">
        <f>SUM(Q6+Q7+Q8+Q9+Q10+Q11+Q12+Q13+Q14)</f>
        <v>1163603</v>
      </c>
      <c r="R5" s="2397">
        <f>SUM(R6+R7+R8+R9+R10+R11+R12+R13+R14)</f>
        <v>35054.703978</v>
      </c>
      <c r="S5" s="2381">
        <v>1130110</v>
      </c>
      <c r="T5" s="601">
        <f>S5*30.126/1000</f>
        <v>34045.69386</v>
      </c>
      <c r="U5" s="601">
        <v>1130110</v>
      </c>
      <c r="V5" s="743">
        <f>U5*30.126/1000</f>
        <v>34045.69386</v>
      </c>
    </row>
    <row r="6" spans="1:22" ht="15" customHeight="1">
      <c r="A6" s="113"/>
      <c r="B6" s="925" t="s">
        <v>1073</v>
      </c>
      <c r="C6" s="923">
        <v>18300</v>
      </c>
      <c r="D6" s="2363">
        <v>19749</v>
      </c>
      <c r="E6" s="771">
        <f>707030-49790</f>
        <v>657240</v>
      </c>
      <c r="F6" s="967">
        <f>(E6*30.126)/1000</f>
        <v>19800.012240000004</v>
      </c>
      <c r="G6" s="465">
        <v>730266</v>
      </c>
      <c r="H6" s="744">
        <f>G6*30.126/1000</f>
        <v>21999.993516000002</v>
      </c>
      <c r="I6" s="745">
        <v>675928</v>
      </c>
      <c r="J6" s="745">
        <f>I6*30.126/1000</f>
        <v>20363.006928</v>
      </c>
      <c r="K6" s="745">
        <v>730266</v>
      </c>
      <c r="L6" s="745">
        <f>K6*30.126/1000</f>
        <v>21999.993516000002</v>
      </c>
      <c r="M6" s="745">
        <v>730266</v>
      </c>
      <c r="N6" s="745">
        <f>M6*30.126/1000</f>
        <v>21999.993516000002</v>
      </c>
      <c r="O6" s="745">
        <v>675928</v>
      </c>
      <c r="P6" s="2378">
        <f>O6*30.126/1000</f>
        <v>20363.006928</v>
      </c>
      <c r="Q6" s="2298">
        <v>665035</v>
      </c>
      <c r="R6" s="2303">
        <f aca="true" t="shared" si="3" ref="R6:R13">Q6*30.126/1000</f>
        <v>20034.84441</v>
      </c>
      <c r="S6" s="2289"/>
      <c r="T6" s="258"/>
      <c r="U6" s="258"/>
      <c r="V6" s="302"/>
    </row>
    <row r="7" spans="1:22" ht="15" customHeight="1">
      <c r="A7" s="116"/>
      <c r="B7" s="1454" t="s">
        <v>153</v>
      </c>
      <c r="C7" s="1455"/>
      <c r="D7" s="2364"/>
      <c r="E7" s="2370"/>
      <c r="F7" s="1802"/>
      <c r="G7" s="610"/>
      <c r="H7" s="355"/>
      <c r="I7" s="341"/>
      <c r="J7" s="341"/>
      <c r="K7" s="341"/>
      <c r="L7" s="341"/>
      <c r="M7" s="341"/>
      <c r="N7" s="341"/>
      <c r="O7" s="341"/>
      <c r="P7" s="2287"/>
      <c r="Q7" s="2300">
        <v>1160</v>
      </c>
      <c r="R7" s="2303">
        <f t="shared" si="3"/>
        <v>34.946160000000006</v>
      </c>
      <c r="S7" s="2290"/>
      <c r="T7" s="341"/>
      <c r="U7" s="341"/>
      <c r="V7" s="343"/>
    </row>
    <row r="8" spans="1:22" ht="15" customHeight="1">
      <c r="A8" s="116"/>
      <c r="B8" s="1454" t="s">
        <v>1184</v>
      </c>
      <c r="C8" s="1455"/>
      <c r="D8" s="2364"/>
      <c r="E8" s="2370">
        <v>13940</v>
      </c>
      <c r="F8" s="139">
        <f>(E8*30.126)/1000</f>
        <v>419.95644</v>
      </c>
      <c r="G8" s="610"/>
      <c r="H8" s="355"/>
      <c r="I8" s="341"/>
      <c r="J8" s="341"/>
      <c r="K8" s="341"/>
      <c r="L8" s="341"/>
      <c r="M8" s="341"/>
      <c r="N8" s="341"/>
      <c r="O8" s="341"/>
      <c r="P8" s="2287"/>
      <c r="Q8" s="2300">
        <v>6274</v>
      </c>
      <c r="R8" s="2303">
        <f t="shared" si="3"/>
        <v>189.010524</v>
      </c>
      <c r="S8" s="2290"/>
      <c r="T8" s="341"/>
      <c r="U8" s="341"/>
      <c r="V8" s="343"/>
    </row>
    <row r="9" spans="1:22" ht="15" customHeight="1">
      <c r="A9" s="116"/>
      <c r="B9" s="926" t="s">
        <v>1074</v>
      </c>
      <c r="C9" s="924">
        <v>6497</v>
      </c>
      <c r="D9" s="2365">
        <v>6680</v>
      </c>
      <c r="E9" s="772">
        <f>247095-12510</f>
        <v>234585</v>
      </c>
      <c r="F9" s="139">
        <f aca="true" t="shared" si="4" ref="F9:F18">(E9*30.126)/1000</f>
        <v>7067.10771</v>
      </c>
      <c r="G9" s="446">
        <v>255228</v>
      </c>
      <c r="H9" s="354">
        <f>G9*30.126/1000</f>
        <v>7688.9987280000005</v>
      </c>
      <c r="I9" s="249">
        <v>236237</v>
      </c>
      <c r="J9" s="249">
        <f>I9*30.126/1000</f>
        <v>7116.875862000001</v>
      </c>
      <c r="K9" s="249">
        <v>255228</v>
      </c>
      <c r="L9" s="249">
        <f>K9*30.126/1000</f>
        <v>7688.9987280000005</v>
      </c>
      <c r="M9" s="249">
        <v>255228</v>
      </c>
      <c r="N9" s="249">
        <f>M9*30.126/1000</f>
        <v>7688.9987280000005</v>
      </c>
      <c r="O9" s="249">
        <v>236237</v>
      </c>
      <c r="P9" s="1553">
        <f>O9*30.126/1000</f>
        <v>7116.875862000001</v>
      </c>
      <c r="Q9" s="2302">
        <v>235029</v>
      </c>
      <c r="R9" s="2303">
        <f t="shared" si="3"/>
        <v>7080.483654</v>
      </c>
      <c r="S9" s="2291"/>
      <c r="T9" s="249"/>
      <c r="U9" s="249"/>
      <c r="V9" s="304"/>
    </row>
    <row r="10" spans="1:22" ht="15" customHeight="1">
      <c r="A10" s="116"/>
      <c r="B10" s="926" t="s">
        <v>152</v>
      </c>
      <c r="C10" s="924"/>
      <c r="D10" s="2365"/>
      <c r="E10" s="772"/>
      <c r="F10" s="139"/>
      <c r="G10" s="446"/>
      <c r="H10" s="354"/>
      <c r="I10" s="249"/>
      <c r="J10" s="249"/>
      <c r="K10" s="249"/>
      <c r="L10" s="249"/>
      <c r="M10" s="249"/>
      <c r="N10" s="249"/>
      <c r="O10" s="249"/>
      <c r="P10" s="1553"/>
      <c r="Q10" s="2302">
        <v>2325</v>
      </c>
      <c r="R10" s="2303">
        <f t="shared" si="3"/>
        <v>70.04294999999999</v>
      </c>
      <c r="S10" s="2291"/>
      <c r="T10" s="249"/>
      <c r="U10" s="249"/>
      <c r="V10" s="304"/>
    </row>
    <row r="11" spans="1:22" ht="15" customHeight="1">
      <c r="A11" s="116"/>
      <c r="B11" s="926" t="s">
        <v>1075</v>
      </c>
      <c r="C11" s="924">
        <v>263</v>
      </c>
      <c r="D11" s="2365">
        <v>264</v>
      </c>
      <c r="E11" s="772">
        <v>10954</v>
      </c>
      <c r="F11" s="139">
        <f t="shared" si="4"/>
        <v>330.00020400000005</v>
      </c>
      <c r="G11" s="446">
        <v>10954</v>
      </c>
      <c r="H11" s="354">
        <f>G11*30.126/1000</f>
        <v>330.00020400000005</v>
      </c>
      <c r="I11" s="249">
        <v>10954</v>
      </c>
      <c r="J11" s="249">
        <f>I11*30.126/1000</f>
        <v>330.00020400000005</v>
      </c>
      <c r="K11" s="249">
        <v>10954</v>
      </c>
      <c r="L11" s="249">
        <f>K11*30.126/1000</f>
        <v>330.00020400000005</v>
      </c>
      <c r="M11" s="249">
        <v>10954</v>
      </c>
      <c r="N11" s="249">
        <f>M11*30.126/1000</f>
        <v>330.00020400000005</v>
      </c>
      <c r="O11" s="249">
        <v>10954</v>
      </c>
      <c r="P11" s="1553">
        <f>O11*30.126/1000</f>
        <v>330.00020400000005</v>
      </c>
      <c r="Q11" s="2302">
        <v>10954</v>
      </c>
      <c r="R11" s="2303">
        <f t="shared" si="3"/>
        <v>330.00020400000005</v>
      </c>
      <c r="S11" s="2291"/>
      <c r="T11" s="249"/>
      <c r="U11" s="249"/>
      <c r="V11" s="304"/>
    </row>
    <row r="12" spans="1:22" ht="15" customHeight="1">
      <c r="A12" s="116"/>
      <c r="B12" s="926" t="s">
        <v>1076</v>
      </c>
      <c r="C12" s="924">
        <v>235</v>
      </c>
      <c r="D12" s="2365">
        <v>258</v>
      </c>
      <c r="E12" s="772">
        <f>10289-530</f>
        <v>9759</v>
      </c>
      <c r="F12" s="139">
        <f t="shared" si="4"/>
        <v>293.999634</v>
      </c>
      <c r="G12" s="446">
        <v>10654</v>
      </c>
      <c r="H12" s="625">
        <f>G12*30.126/1000</f>
        <v>320.96240400000005</v>
      </c>
      <c r="I12" s="247">
        <v>10139</v>
      </c>
      <c r="J12" s="247">
        <f>I12*30.126/1000</f>
        <v>305.447514</v>
      </c>
      <c r="K12" s="247">
        <v>10654</v>
      </c>
      <c r="L12" s="247">
        <f>K12*30.126/1000</f>
        <v>320.96240400000005</v>
      </c>
      <c r="M12" s="247">
        <v>10654</v>
      </c>
      <c r="N12" s="247">
        <f>M12*30.126/1000</f>
        <v>320.96240400000005</v>
      </c>
      <c r="O12" s="247">
        <v>10139</v>
      </c>
      <c r="P12" s="1790">
        <f>O12*30.126/1000</f>
        <v>305.447514</v>
      </c>
      <c r="Q12" s="2398">
        <v>10070</v>
      </c>
      <c r="R12" s="2399">
        <f t="shared" si="3"/>
        <v>303.36882</v>
      </c>
      <c r="S12" s="2382"/>
      <c r="T12" s="247"/>
      <c r="U12" s="247"/>
      <c r="V12" s="331"/>
    </row>
    <row r="13" spans="1:22" ht="15" customHeight="1">
      <c r="A13" s="116"/>
      <c r="B13" s="926" t="s">
        <v>49</v>
      </c>
      <c r="C13" s="924"/>
      <c r="D13" s="2365"/>
      <c r="E13" s="772"/>
      <c r="F13" s="139"/>
      <c r="G13" s="446"/>
      <c r="H13" s="625"/>
      <c r="I13" s="249">
        <v>27252</v>
      </c>
      <c r="J13" s="247">
        <f>I13*30.126/1000</f>
        <v>820.993752</v>
      </c>
      <c r="K13" s="249"/>
      <c r="L13" s="247"/>
      <c r="M13" s="249"/>
      <c r="N13" s="247"/>
      <c r="O13" s="249">
        <v>27252</v>
      </c>
      <c r="P13" s="1790">
        <f>O13*30.126/1000</f>
        <v>820.993752</v>
      </c>
      <c r="Q13" s="2302">
        <v>27252</v>
      </c>
      <c r="R13" s="2399">
        <f t="shared" si="3"/>
        <v>820.993752</v>
      </c>
      <c r="S13" s="2291"/>
      <c r="T13" s="247"/>
      <c r="U13" s="249"/>
      <c r="V13" s="331"/>
    </row>
    <row r="14" spans="1:22" ht="15" customHeight="1">
      <c r="A14" s="116"/>
      <c r="B14" s="926" t="s">
        <v>1077</v>
      </c>
      <c r="C14" s="924">
        <f>SUM(C15:C18)</f>
        <v>5794</v>
      </c>
      <c r="D14" s="2365">
        <f>SUM(D15:D18)</f>
        <v>6190</v>
      </c>
      <c r="E14" s="2371">
        <f>SUM(E15:E18)</f>
        <v>200500</v>
      </c>
      <c r="F14" s="227">
        <f t="shared" si="4"/>
        <v>6040.263</v>
      </c>
      <c r="G14" s="563">
        <f aca="true" t="shared" si="5" ref="G14:N14">SUM(G15:G18)</f>
        <v>214665</v>
      </c>
      <c r="H14" s="569">
        <f t="shared" si="5"/>
        <v>6466.997790000001</v>
      </c>
      <c r="I14" s="257">
        <f t="shared" si="5"/>
        <v>205504</v>
      </c>
      <c r="J14" s="257">
        <f t="shared" si="5"/>
        <v>6191.0135040000005</v>
      </c>
      <c r="K14" s="257">
        <f t="shared" si="5"/>
        <v>214665</v>
      </c>
      <c r="L14" s="257">
        <f t="shared" si="5"/>
        <v>6466.997790000001</v>
      </c>
      <c r="M14" s="257">
        <f t="shared" si="5"/>
        <v>214665</v>
      </c>
      <c r="N14" s="257">
        <f t="shared" si="5"/>
        <v>6466.997790000001</v>
      </c>
      <c r="O14" s="257">
        <f>SUM(O15:O18)</f>
        <v>205504</v>
      </c>
      <c r="P14" s="1576">
        <f>SUM(P15:P18)</f>
        <v>6191.0135040000005</v>
      </c>
      <c r="Q14" s="2259">
        <f>SUM(Q15:Q18)</f>
        <v>205504</v>
      </c>
      <c r="R14" s="979">
        <f>SUM(R15:R18)</f>
        <v>6191.0135040000005</v>
      </c>
      <c r="S14" s="2246"/>
      <c r="T14" s="257"/>
      <c r="U14" s="257"/>
      <c r="V14" s="311"/>
    </row>
    <row r="15" spans="1:22" ht="15" customHeight="1">
      <c r="A15" s="115"/>
      <c r="B15" s="789" t="s">
        <v>1078</v>
      </c>
      <c r="C15" s="803">
        <v>938</v>
      </c>
      <c r="D15" s="1524">
        <v>883</v>
      </c>
      <c r="E15" s="772">
        <v>22240</v>
      </c>
      <c r="F15" s="139">
        <f t="shared" si="4"/>
        <v>670.00224</v>
      </c>
      <c r="G15" s="446">
        <v>22240</v>
      </c>
      <c r="H15" s="354">
        <f>G15*30.126/1000</f>
        <v>670.00224</v>
      </c>
      <c r="I15" s="249">
        <v>22240</v>
      </c>
      <c r="J15" s="249">
        <f>I15*30.126/1000</f>
        <v>670.00224</v>
      </c>
      <c r="K15" s="249">
        <v>22240</v>
      </c>
      <c r="L15" s="249">
        <f>K15*30.126/1000</f>
        <v>670.00224</v>
      </c>
      <c r="M15" s="249">
        <v>22240</v>
      </c>
      <c r="N15" s="249">
        <f>M15*30.126/1000</f>
        <v>670.00224</v>
      </c>
      <c r="O15" s="249">
        <v>22240</v>
      </c>
      <c r="P15" s="1553">
        <f>O15*30.126/1000</f>
        <v>670.00224</v>
      </c>
      <c r="Q15" s="2302">
        <v>22240</v>
      </c>
      <c r="R15" s="2303">
        <f>Q15*30.126/1000</f>
        <v>670.00224</v>
      </c>
      <c r="S15" s="2291"/>
      <c r="T15" s="249"/>
      <c r="U15" s="249"/>
      <c r="V15" s="304"/>
    </row>
    <row r="16" spans="1:22" ht="15" customHeight="1">
      <c r="A16" s="115"/>
      <c r="B16" s="789" t="s">
        <v>1079</v>
      </c>
      <c r="C16" s="803">
        <v>279</v>
      </c>
      <c r="D16" s="1524">
        <v>381</v>
      </c>
      <c r="E16" s="772">
        <v>2185</v>
      </c>
      <c r="F16" s="139">
        <f t="shared" si="4"/>
        <v>65.82531</v>
      </c>
      <c r="G16" s="446">
        <v>3685</v>
      </c>
      <c r="H16" s="354">
        <f>G16*30.126/1000</f>
        <v>111.01431</v>
      </c>
      <c r="I16" s="249">
        <v>2656</v>
      </c>
      <c r="J16" s="249">
        <f>I16*30.126/1000</f>
        <v>80.014656</v>
      </c>
      <c r="K16" s="249">
        <v>3685</v>
      </c>
      <c r="L16" s="249">
        <f>K16*30.126/1000</f>
        <v>111.01431</v>
      </c>
      <c r="M16" s="249">
        <v>3685</v>
      </c>
      <c r="N16" s="249">
        <f>M16*30.126/1000</f>
        <v>111.01431</v>
      </c>
      <c r="O16" s="249">
        <v>2656</v>
      </c>
      <c r="P16" s="1553">
        <f>O16*30.126/1000</f>
        <v>80.014656</v>
      </c>
      <c r="Q16" s="2302">
        <v>2656</v>
      </c>
      <c r="R16" s="2303">
        <f>Q16*30.126/1000</f>
        <v>80.014656</v>
      </c>
      <c r="S16" s="2291"/>
      <c r="T16" s="249"/>
      <c r="U16" s="249"/>
      <c r="V16" s="304"/>
    </row>
    <row r="17" spans="1:22" ht="15" customHeight="1">
      <c r="A17" s="115"/>
      <c r="B17" s="789" t="s">
        <v>1080</v>
      </c>
      <c r="C17" s="803">
        <v>2325</v>
      </c>
      <c r="D17" s="1524">
        <v>2418</v>
      </c>
      <c r="E17" s="772">
        <v>76914</v>
      </c>
      <c r="F17" s="139">
        <f t="shared" si="4"/>
        <v>2317.111164</v>
      </c>
      <c r="G17" s="446">
        <v>84246</v>
      </c>
      <c r="H17" s="354">
        <f>G17*30.126/1000</f>
        <v>2537.9949960000004</v>
      </c>
      <c r="I17" s="249">
        <v>78603</v>
      </c>
      <c r="J17" s="249">
        <f>I17*30.126/1000</f>
        <v>2367.993978</v>
      </c>
      <c r="K17" s="249">
        <v>84246</v>
      </c>
      <c r="L17" s="249">
        <f>K17*30.126/1000</f>
        <v>2537.9949960000004</v>
      </c>
      <c r="M17" s="249">
        <v>84246</v>
      </c>
      <c r="N17" s="249">
        <f>M17*30.126/1000</f>
        <v>2537.9949960000004</v>
      </c>
      <c r="O17" s="249">
        <v>78603</v>
      </c>
      <c r="P17" s="1553">
        <f>O17*30.126/1000</f>
        <v>2367.993978</v>
      </c>
      <c r="Q17" s="2302">
        <v>78603</v>
      </c>
      <c r="R17" s="2303">
        <f>Q17*30.126/1000</f>
        <v>2367.993978</v>
      </c>
      <c r="S17" s="2291"/>
      <c r="T17" s="249"/>
      <c r="U17" s="249"/>
      <c r="V17" s="304"/>
    </row>
    <row r="18" spans="1:22" ht="15" customHeight="1">
      <c r="A18" s="115"/>
      <c r="B18" s="789" t="s">
        <v>1081</v>
      </c>
      <c r="C18" s="803">
        <v>2252</v>
      </c>
      <c r="D18" s="1524">
        <v>2508</v>
      </c>
      <c r="E18" s="772">
        <v>99161</v>
      </c>
      <c r="F18" s="139">
        <f t="shared" si="4"/>
        <v>2987.3242860000005</v>
      </c>
      <c r="G18" s="446">
        <v>104494</v>
      </c>
      <c r="H18" s="354">
        <f>G18*30.126/1000</f>
        <v>3147.986244</v>
      </c>
      <c r="I18" s="249">
        <v>102005</v>
      </c>
      <c r="J18" s="249">
        <f>I18*30.126/1000</f>
        <v>3073.0026300000004</v>
      </c>
      <c r="K18" s="249">
        <v>104494</v>
      </c>
      <c r="L18" s="249">
        <f>K18*30.126/1000</f>
        <v>3147.986244</v>
      </c>
      <c r="M18" s="249">
        <v>104494</v>
      </c>
      <c r="N18" s="249">
        <f>M18*30.126/1000</f>
        <v>3147.986244</v>
      </c>
      <c r="O18" s="249">
        <v>102005</v>
      </c>
      <c r="P18" s="1553">
        <f>O18*30.126/1000</f>
        <v>3073.0026300000004</v>
      </c>
      <c r="Q18" s="2302">
        <v>102005</v>
      </c>
      <c r="R18" s="2303">
        <f>Q18*30.126/1000</f>
        <v>3073.0026300000004</v>
      </c>
      <c r="S18" s="2291"/>
      <c r="T18" s="249"/>
      <c r="U18" s="249"/>
      <c r="V18" s="304"/>
    </row>
    <row r="19" spans="1:22" s="1" customFormat="1" ht="19.5" customHeight="1">
      <c r="A19" s="112" t="s">
        <v>1082</v>
      </c>
      <c r="B19" s="787" t="s">
        <v>967</v>
      </c>
      <c r="C19" s="922">
        <f>SUM(C20:C28)</f>
        <v>2311</v>
      </c>
      <c r="D19" s="2362">
        <f>SUM(D20:D28)</f>
        <v>2011</v>
      </c>
      <c r="E19" s="770">
        <f>SUM(E20:E28)</f>
        <v>18916</v>
      </c>
      <c r="F19" s="480">
        <f>SUM(F20:F28)</f>
        <v>569.863416</v>
      </c>
      <c r="G19" s="464">
        <f>SUM(G20:G28)</f>
        <v>39832</v>
      </c>
      <c r="H19" s="245">
        <f aca="true" t="shared" si="6" ref="H19:N19">SUM(H20:H28)</f>
        <v>1199.978832</v>
      </c>
      <c r="I19" s="246">
        <f t="shared" si="6"/>
        <v>20249</v>
      </c>
      <c r="J19" s="246">
        <f t="shared" si="6"/>
        <v>610.0213739999999</v>
      </c>
      <c r="K19" s="246">
        <f t="shared" si="6"/>
        <v>39832</v>
      </c>
      <c r="L19" s="246">
        <f t="shared" si="6"/>
        <v>1199.978832</v>
      </c>
      <c r="M19" s="246">
        <f t="shared" si="6"/>
        <v>39832</v>
      </c>
      <c r="N19" s="246">
        <f t="shared" si="6"/>
        <v>1199.978832</v>
      </c>
      <c r="O19" s="246">
        <f>SUM(O20:O28)</f>
        <v>20249</v>
      </c>
      <c r="P19" s="1550">
        <f>SUM(P20:P28)</f>
        <v>610.0213739999999</v>
      </c>
      <c r="Q19" s="2400">
        <f>SUM(Q20:Q28)</f>
        <v>20249</v>
      </c>
      <c r="R19" s="972">
        <f>SUM(R20:R28)</f>
        <v>610.0213739999999</v>
      </c>
      <c r="S19" s="2383">
        <v>20249</v>
      </c>
      <c r="T19" s="246">
        <f>S19*30.126/1000</f>
        <v>610.021374</v>
      </c>
      <c r="U19" s="246">
        <v>20249</v>
      </c>
      <c r="V19" s="255">
        <f>U19*30.126/1000</f>
        <v>610.021374</v>
      </c>
    </row>
    <row r="20" spans="1:22" ht="15" customHeight="1" hidden="1">
      <c r="A20" s="122"/>
      <c r="B20" s="904" t="s">
        <v>1083</v>
      </c>
      <c r="C20" s="803">
        <f>69+188</f>
        <v>257</v>
      </c>
      <c r="D20" s="1524">
        <v>18</v>
      </c>
      <c r="E20" s="2372"/>
      <c r="F20" s="2373"/>
      <c r="G20" s="446"/>
      <c r="H20" s="354"/>
      <c r="I20" s="342"/>
      <c r="J20" s="342"/>
      <c r="K20" s="249"/>
      <c r="L20" s="249"/>
      <c r="M20" s="249"/>
      <c r="N20" s="249"/>
      <c r="O20" s="342"/>
      <c r="P20" s="1591"/>
      <c r="Q20" s="2401"/>
      <c r="R20" s="2402"/>
      <c r="S20" s="2384"/>
      <c r="T20" s="342"/>
      <c r="U20" s="342"/>
      <c r="V20" s="572"/>
    </row>
    <row r="21" spans="1:22" ht="15" customHeight="1">
      <c r="A21" s="115"/>
      <c r="B21" s="904" t="s">
        <v>1084</v>
      </c>
      <c r="C21" s="803">
        <v>15</v>
      </c>
      <c r="D21" s="1524">
        <v>180</v>
      </c>
      <c r="E21" s="772"/>
      <c r="F21" s="139"/>
      <c r="G21" s="446">
        <v>3319</v>
      </c>
      <c r="H21" s="354">
        <f>G21*30.126/1000</f>
        <v>99.98819400000001</v>
      </c>
      <c r="I21" s="249">
        <v>1992</v>
      </c>
      <c r="J21" s="249">
        <f>I21*30.126/1000</f>
        <v>60.01099200000001</v>
      </c>
      <c r="K21" s="249">
        <v>3319</v>
      </c>
      <c r="L21" s="249">
        <f>K21*30.126/1000</f>
        <v>99.98819400000001</v>
      </c>
      <c r="M21" s="249">
        <v>3319</v>
      </c>
      <c r="N21" s="249">
        <f>M21*30.126/1000</f>
        <v>99.98819400000001</v>
      </c>
      <c r="O21" s="249">
        <v>1992</v>
      </c>
      <c r="P21" s="1553">
        <f>O21*30.126/1000</f>
        <v>60.01099200000001</v>
      </c>
      <c r="Q21" s="2302">
        <v>1992</v>
      </c>
      <c r="R21" s="2303">
        <f>Q21*30.126/1000</f>
        <v>60.01099200000001</v>
      </c>
      <c r="S21" s="2291"/>
      <c r="T21" s="249"/>
      <c r="U21" s="249"/>
      <c r="V21" s="304"/>
    </row>
    <row r="22" spans="1:22" ht="15" customHeight="1" hidden="1">
      <c r="A22" s="115"/>
      <c r="B22" s="904" t="s">
        <v>1104</v>
      </c>
      <c r="C22" s="803">
        <v>1201</v>
      </c>
      <c r="D22" s="1524">
        <v>1173</v>
      </c>
      <c r="E22" s="772"/>
      <c r="F22" s="139"/>
      <c r="G22" s="446"/>
      <c r="H22" s="354"/>
      <c r="I22" s="249"/>
      <c r="J22" s="249">
        <f>I22*30.126/1000</f>
        <v>0</v>
      </c>
      <c r="K22" s="249"/>
      <c r="L22" s="249"/>
      <c r="M22" s="249"/>
      <c r="N22" s="249"/>
      <c r="O22" s="249"/>
      <c r="P22" s="1553">
        <f>O22*30.126/1000</f>
        <v>0</v>
      </c>
      <c r="Q22" s="2302"/>
      <c r="R22" s="2303">
        <f>Q22*30.126/1000</f>
        <v>0</v>
      </c>
      <c r="S22" s="2291"/>
      <c r="T22" s="249"/>
      <c r="U22" s="249"/>
      <c r="V22" s="304"/>
    </row>
    <row r="23" spans="1:22" ht="15" customHeight="1">
      <c r="A23" s="115"/>
      <c r="B23" s="904" t="s">
        <v>1085</v>
      </c>
      <c r="C23" s="803">
        <v>658</v>
      </c>
      <c r="D23" s="1524">
        <v>357</v>
      </c>
      <c r="E23" s="772"/>
      <c r="F23" s="139"/>
      <c r="G23" s="446">
        <v>16597</v>
      </c>
      <c r="H23" s="354">
        <f aca="true" t="shared" si="7" ref="H23:H28">G23*30.126/1000</f>
        <v>500.001222</v>
      </c>
      <c r="I23" s="249">
        <v>16597</v>
      </c>
      <c r="J23" s="249">
        <f>I23*30.126/1000</f>
        <v>500.001222</v>
      </c>
      <c r="K23" s="249">
        <v>16597</v>
      </c>
      <c r="L23" s="249">
        <f aca="true" t="shared" si="8" ref="L23:L28">K23*30.126/1000</f>
        <v>500.001222</v>
      </c>
      <c r="M23" s="249">
        <v>16597</v>
      </c>
      <c r="N23" s="249">
        <f aca="true" t="shared" si="9" ref="N23:N28">M23*30.126/1000</f>
        <v>500.001222</v>
      </c>
      <c r="O23" s="249">
        <v>16597</v>
      </c>
      <c r="P23" s="1553">
        <f>O23*30.126/1000</f>
        <v>500.001222</v>
      </c>
      <c r="Q23" s="2302">
        <v>16597</v>
      </c>
      <c r="R23" s="2303">
        <f>Q23*30.126/1000</f>
        <v>500.001222</v>
      </c>
      <c r="S23" s="2291"/>
      <c r="T23" s="249"/>
      <c r="U23" s="249"/>
      <c r="V23" s="304"/>
    </row>
    <row r="24" spans="1:22" ht="15" customHeight="1" hidden="1">
      <c r="A24" s="115"/>
      <c r="B24" s="904" t="s">
        <v>1086</v>
      </c>
      <c r="C24" s="803"/>
      <c r="D24" s="1524">
        <v>256</v>
      </c>
      <c r="E24" s="772"/>
      <c r="F24" s="139"/>
      <c r="G24" s="446"/>
      <c r="H24" s="354"/>
      <c r="I24" s="249"/>
      <c r="J24" s="249">
        <f>I24*30.126/1000</f>
        <v>0</v>
      </c>
      <c r="K24" s="249"/>
      <c r="L24" s="249"/>
      <c r="M24" s="249"/>
      <c r="N24" s="249"/>
      <c r="O24" s="249"/>
      <c r="P24" s="1553">
        <f>O24*30.126/1000</f>
        <v>0</v>
      </c>
      <c r="Q24" s="2302"/>
      <c r="R24" s="2303">
        <f>Q24*30.126/1000</f>
        <v>0</v>
      </c>
      <c r="S24" s="2291"/>
      <c r="T24" s="249"/>
      <c r="U24" s="249"/>
      <c r="V24" s="304"/>
    </row>
    <row r="25" spans="1:22" ht="15" customHeight="1">
      <c r="A25" s="115"/>
      <c r="B25" s="904" t="s">
        <v>1087</v>
      </c>
      <c r="C25" s="803"/>
      <c r="D25" s="1524">
        <v>27</v>
      </c>
      <c r="E25" s="772">
        <v>2319</v>
      </c>
      <c r="F25" s="139">
        <f>(E25*30.126)/1000</f>
        <v>69.862194</v>
      </c>
      <c r="G25" s="446">
        <v>3319</v>
      </c>
      <c r="H25" s="354">
        <f t="shared" si="7"/>
        <v>99.98819400000001</v>
      </c>
      <c r="I25" s="249">
        <v>1660</v>
      </c>
      <c r="J25" s="249">
        <f>I25*30.126/1000</f>
        <v>50.00916</v>
      </c>
      <c r="K25" s="249">
        <v>3319</v>
      </c>
      <c r="L25" s="249">
        <f t="shared" si="8"/>
        <v>99.98819400000001</v>
      </c>
      <c r="M25" s="249">
        <v>3319</v>
      </c>
      <c r="N25" s="249">
        <f t="shared" si="9"/>
        <v>99.98819400000001</v>
      </c>
      <c r="O25" s="249">
        <v>1660</v>
      </c>
      <c r="P25" s="1553">
        <f>O25*30.126/1000</f>
        <v>50.00916</v>
      </c>
      <c r="Q25" s="2302">
        <v>1660</v>
      </c>
      <c r="R25" s="2303">
        <f>Q25*30.126/1000</f>
        <v>50.00916</v>
      </c>
      <c r="S25" s="2291"/>
      <c r="T25" s="249"/>
      <c r="U25" s="249"/>
      <c r="V25" s="304"/>
    </row>
    <row r="26" spans="1:22" ht="15" customHeight="1" hidden="1">
      <c r="A26" s="115"/>
      <c r="B26" s="927" t="s">
        <v>569</v>
      </c>
      <c r="C26" s="828">
        <v>22</v>
      </c>
      <c r="D26" s="2366"/>
      <c r="E26" s="851"/>
      <c r="F26" s="308"/>
      <c r="G26" s="611"/>
      <c r="H26" s="354"/>
      <c r="I26" s="312"/>
      <c r="J26" s="312"/>
      <c r="K26" s="312"/>
      <c r="L26" s="249"/>
      <c r="M26" s="312"/>
      <c r="N26" s="249"/>
      <c r="O26" s="312"/>
      <c r="P26" s="1558"/>
      <c r="Q26" s="2403"/>
      <c r="R26" s="2404"/>
      <c r="S26" s="2385"/>
      <c r="T26" s="312"/>
      <c r="U26" s="312"/>
      <c r="V26" s="313"/>
    </row>
    <row r="27" spans="1:22" ht="15" customHeight="1" hidden="1">
      <c r="A27" s="115"/>
      <c r="B27" s="927" t="s">
        <v>570</v>
      </c>
      <c r="C27" s="828">
        <v>158</v>
      </c>
      <c r="D27" s="2366"/>
      <c r="E27" s="851"/>
      <c r="F27" s="308"/>
      <c r="G27" s="611"/>
      <c r="H27" s="354"/>
      <c r="I27" s="312"/>
      <c r="J27" s="312"/>
      <c r="K27" s="312"/>
      <c r="L27" s="249"/>
      <c r="M27" s="312"/>
      <c r="N27" s="249"/>
      <c r="O27" s="312"/>
      <c r="P27" s="1558"/>
      <c r="Q27" s="2403"/>
      <c r="R27" s="2404"/>
      <c r="S27" s="2385"/>
      <c r="T27" s="312"/>
      <c r="U27" s="312"/>
      <c r="V27" s="313"/>
    </row>
    <row r="28" spans="1:22" ht="15" customHeight="1" thickBot="1">
      <c r="A28" s="124"/>
      <c r="B28" s="928" t="s">
        <v>1088</v>
      </c>
      <c r="C28" s="865"/>
      <c r="D28" s="2367"/>
      <c r="E28" s="2374">
        <v>16597</v>
      </c>
      <c r="F28" s="380">
        <f>(E28*30.126)/1000</f>
        <v>500.001222</v>
      </c>
      <c r="G28" s="537">
        <v>16597</v>
      </c>
      <c r="H28" s="526">
        <f t="shared" si="7"/>
        <v>500.001222</v>
      </c>
      <c r="I28" s="280"/>
      <c r="J28" s="280"/>
      <c r="K28" s="280">
        <v>16597</v>
      </c>
      <c r="L28" s="280">
        <f t="shared" si="8"/>
        <v>500.001222</v>
      </c>
      <c r="M28" s="280">
        <v>16597</v>
      </c>
      <c r="N28" s="280">
        <f t="shared" si="9"/>
        <v>500.001222</v>
      </c>
      <c r="O28" s="280"/>
      <c r="P28" s="1578"/>
      <c r="Q28" s="2260"/>
      <c r="R28" s="2261"/>
      <c r="S28" s="2386"/>
      <c r="T28" s="280"/>
      <c r="U28" s="280"/>
      <c r="V28" s="528"/>
    </row>
    <row r="29" spans="3:4" ht="19.5" customHeight="1" thickBot="1">
      <c r="C29" s="291"/>
      <c r="D29" s="291"/>
    </row>
    <row r="30" spans="1:22" s="23" customFormat="1" ht="39.75" customHeight="1" thickTop="1">
      <c r="A30" s="2884"/>
      <c r="B30" s="2885"/>
      <c r="C30" s="360" t="s">
        <v>506</v>
      </c>
      <c r="D30" s="2112" t="s">
        <v>507</v>
      </c>
      <c r="E30" s="2890" t="s">
        <v>226</v>
      </c>
      <c r="F30" s="2891"/>
      <c r="G30" s="1101" t="s">
        <v>510</v>
      </c>
      <c r="H30" s="1001" t="s">
        <v>510</v>
      </c>
      <c r="I30" s="826" t="s">
        <v>87</v>
      </c>
      <c r="J30" s="826" t="s">
        <v>87</v>
      </c>
      <c r="K30" s="2871" t="s">
        <v>509</v>
      </c>
      <c r="L30" s="2871"/>
      <c r="M30" s="2871" t="s">
        <v>508</v>
      </c>
      <c r="N30" s="2871"/>
      <c r="O30" s="824" t="s">
        <v>952</v>
      </c>
      <c r="P30" s="1579" t="s">
        <v>952</v>
      </c>
      <c r="Q30" s="2859" t="s">
        <v>183</v>
      </c>
      <c r="R30" s="2860"/>
      <c r="S30" s="2880" t="s">
        <v>725</v>
      </c>
      <c r="T30" s="2877"/>
      <c r="U30" s="2877" t="s">
        <v>726</v>
      </c>
      <c r="V30" s="2879"/>
    </row>
    <row r="31" spans="1:22" s="24" customFormat="1" ht="15" customHeight="1" thickBot="1">
      <c r="A31" s="2886"/>
      <c r="B31" s="2887"/>
      <c r="C31" s="347" t="s">
        <v>966</v>
      </c>
      <c r="D31" s="2304" t="s">
        <v>966</v>
      </c>
      <c r="E31" s="2375" t="s">
        <v>435</v>
      </c>
      <c r="F31" s="1966" t="s">
        <v>966</v>
      </c>
      <c r="G31" s="571" t="s">
        <v>435</v>
      </c>
      <c r="H31" s="238" t="s">
        <v>966</v>
      </c>
      <c r="I31" s="995" t="s">
        <v>435</v>
      </c>
      <c r="J31" s="995" t="s">
        <v>966</v>
      </c>
      <c r="K31" s="239" t="s">
        <v>435</v>
      </c>
      <c r="L31" s="239" t="s">
        <v>966</v>
      </c>
      <c r="M31" s="239" t="s">
        <v>435</v>
      </c>
      <c r="N31" s="239" t="s">
        <v>966</v>
      </c>
      <c r="O31" s="996" t="s">
        <v>435</v>
      </c>
      <c r="P31" s="1580" t="s">
        <v>966</v>
      </c>
      <c r="Q31" s="238" t="s">
        <v>435</v>
      </c>
      <c r="R31" s="993" t="s">
        <v>966</v>
      </c>
      <c r="S31" s="2117" t="s">
        <v>435</v>
      </c>
      <c r="T31" s="239" t="s">
        <v>966</v>
      </c>
      <c r="U31" s="239" t="s">
        <v>435</v>
      </c>
      <c r="V31" s="307" t="s">
        <v>966</v>
      </c>
    </row>
    <row r="32" spans="1:22" s="420" customFormat="1" ht="19.5" customHeight="1">
      <c r="A32" s="1776" t="s">
        <v>760</v>
      </c>
      <c r="B32" s="1012" t="s">
        <v>318</v>
      </c>
      <c r="C32" s="1013">
        <f aca="true" t="shared" si="10" ref="C32:C37">C35</f>
        <v>912</v>
      </c>
      <c r="D32" s="1507">
        <f aca="true" t="shared" si="11" ref="D32:N32">D35</f>
        <v>721</v>
      </c>
      <c r="E32" s="2376">
        <f t="shared" si="11"/>
        <v>31971</v>
      </c>
      <c r="F32" s="2377">
        <f t="shared" si="11"/>
        <v>963.1583459999999</v>
      </c>
      <c r="G32" s="1102">
        <f t="shared" si="11"/>
        <v>27252</v>
      </c>
      <c r="H32" s="1015">
        <f t="shared" si="11"/>
        <v>820.9937520000001</v>
      </c>
      <c r="I32" s="1016">
        <f t="shared" si="11"/>
        <v>0</v>
      </c>
      <c r="J32" s="1016">
        <f t="shared" si="11"/>
        <v>0</v>
      </c>
      <c r="K32" s="1016">
        <f t="shared" si="11"/>
        <v>27252</v>
      </c>
      <c r="L32" s="1016">
        <f t="shared" si="11"/>
        <v>820.9937520000001</v>
      </c>
      <c r="M32" s="1016">
        <f t="shared" si="11"/>
        <v>27252</v>
      </c>
      <c r="N32" s="1016">
        <f t="shared" si="11"/>
        <v>820.9937520000001</v>
      </c>
      <c r="O32" s="1016">
        <f aca="true" t="shared" si="12" ref="O32:P37">O35</f>
        <v>0</v>
      </c>
      <c r="P32" s="1507">
        <f t="shared" si="12"/>
        <v>0</v>
      </c>
      <c r="Q32" s="1015">
        <f aca="true" t="shared" si="13" ref="Q32:V37">Q35</f>
        <v>0</v>
      </c>
      <c r="R32" s="1014">
        <f t="shared" si="13"/>
        <v>0</v>
      </c>
      <c r="S32" s="1013">
        <f aca="true" t="shared" si="14" ref="S32:T37">S35</f>
        <v>0</v>
      </c>
      <c r="T32" s="1016">
        <f t="shared" si="14"/>
        <v>0</v>
      </c>
      <c r="U32" s="1016">
        <f t="shared" si="13"/>
        <v>0</v>
      </c>
      <c r="V32" s="1017">
        <f t="shared" si="13"/>
        <v>0</v>
      </c>
    </row>
    <row r="33" spans="1:22" s="30" customFormat="1" ht="15" customHeight="1">
      <c r="A33" s="1020"/>
      <c r="B33" s="1021" t="s">
        <v>7</v>
      </c>
      <c r="C33" s="1022">
        <f t="shared" si="10"/>
        <v>193</v>
      </c>
      <c r="D33" s="1508">
        <f aca="true" t="shared" si="15" ref="D33:N33">D36</f>
        <v>444</v>
      </c>
      <c r="E33" s="1027">
        <f t="shared" si="15"/>
        <v>27252</v>
      </c>
      <c r="F33" s="1026">
        <f t="shared" si="15"/>
        <v>820.993752</v>
      </c>
      <c r="G33" s="369">
        <f t="shared" si="15"/>
        <v>22533</v>
      </c>
      <c r="H33" s="1024">
        <f t="shared" si="15"/>
        <v>678.829158</v>
      </c>
      <c r="I33" s="1025">
        <f t="shared" si="15"/>
        <v>0</v>
      </c>
      <c r="J33" s="1025">
        <f t="shared" si="15"/>
        <v>0</v>
      </c>
      <c r="K33" s="1025">
        <f t="shared" si="15"/>
        <v>22533</v>
      </c>
      <c r="L33" s="1025">
        <f t="shared" si="15"/>
        <v>678.829158</v>
      </c>
      <c r="M33" s="1025">
        <f t="shared" si="15"/>
        <v>22533</v>
      </c>
      <c r="N33" s="1025">
        <f t="shared" si="15"/>
        <v>678.829158</v>
      </c>
      <c r="O33" s="1025">
        <f t="shared" si="12"/>
        <v>0</v>
      </c>
      <c r="P33" s="1508">
        <f t="shared" si="12"/>
        <v>0</v>
      </c>
      <c r="Q33" s="1024">
        <f t="shared" si="13"/>
        <v>0</v>
      </c>
      <c r="R33" s="1023">
        <f t="shared" si="13"/>
        <v>0</v>
      </c>
      <c r="S33" s="1022">
        <f t="shared" si="14"/>
        <v>0</v>
      </c>
      <c r="T33" s="1025">
        <f t="shared" si="14"/>
        <v>0</v>
      </c>
      <c r="U33" s="1025">
        <f t="shared" si="13"/>
        <v>0</v>
      </c>
      <c r="V33" s="1026">
        <f t="shared" si="13"/>
        <v>0</v>
      </c>
    </row>
    <row r="34" spans="1:22" s="49" customFormat="1" ht="15" customHeight="1">
      <c r="A34" s="1029"/>
      <c r="B34" s="1030" t="s">
        <v>8</v>
      </c>
      <c r="C34" s="1031">
        <f t="shared" si="10"/>
        <v>719</v>
      </c>
      <c r="D34" s="1509">
        <f aca="true" t="shared" si="16" ref="D34:N34">D37</f>
        <v>277</v>
      </c>
      <c r="E34" s="1036">
        <f t="shared" si="16"/>
        <v>4719</v>
      </c>
      <c r="F34" s="1035">
        <f t="shared" si="16"/>
        <v>142.16459400000002</v>
      </c>
      <c r="G34" s="1082">
        <f t="shared" si="16"/>
        <v>4719</v>
      </c>
      <c r="H34" s="1033">
        <f t="shared" si="16"/>
        <v>142.16459400000002</v>
      </c>
      <c r="I34" s="1034">
        <f t="shared" si="16"/>
        <v>0</v>
      </c>
      <c r="J34" s="1034">
        <f t="shared" si="16"/>
        <v>0</v>
      </c>
      <c r="K34" s="1034">
        <f t="shared" si="16"/>
        <v>4719</v>
      </c>
      <c r="L34" s="1034">
        <f t="shared" si="16"/>
        <v>142.16459400000002</v>
      </c>
      <c r="M34" s="1034">
        <f t="shared" si="16"/>
        <v>4719</v>
      </c>
      <c r="N34" s="1034">
        <f t="shared" si="16"/>
        <v>142.16459400000002</v>
      </c>
      <c r="O34" s="1034">
        <f t="shared" si="12"/>
        <v>0</v>
      </c>
      <c r="P34" s="1509">
        <f t="shared" si="12"/>
        <v>0</v>
      </c>
      <c r="Q34" s="1033">
        <f t="shared" si="13"/>
        <v>0</v>
      </c>
      <c r="R34" s="1032">
        <f t="shared" si="13"/>
        <v>0</v>
      </c>
      <c r="S34" s="1031">
        <f t="shared" si="14"/>
        <v>0</v>
      </c>
      <c r="T34" s="1034">
        <f t="shared" si="14"/>
        <v>0</v>
      </c>
      <c r="U34" s="1034">
        <f t="shared" si="13"/>
        <v>0</v>
      </c>
      <c r="V34" s="1035">
        <f t="shared" si="13"/>
        <v>0</v>
      </c>
    </row>
    <row r="35" spans="1:22" s="49" customFormat="1" ht="15" customHeight="1">
      <c r="A35" s="1038"/>
      <c r="B35" s="1039" t="s">
        <v>965</v>
      </c>
      <c r="C35" s="1040">
        <f t="shared" si="10"/>
        <v>912</v>
      </c>
      <c r="D35" s="1510">
        <f aca="true" t="shared" si="17" ref="D35:N35">D38</f>
        <v>721</v>
      </c>
      <c r="E35" s="1045">
        <f t="shared" si="17"/>
        <v>31971</v>
      </c>
      <c r="F35" s="1044">
        <f t="shared" si="17"/>
        <v>963.1583459999999</v>
      </c>
      <c r="G35" s="1083">
        <f t="shared" si="17"/>
        <v>27252</v>
      </c>
      <c r="H35" s="1042">
        <f t="shared" si="17"/>
        <v>820.9937520000001</v>
      </c>
      <c r="I35" s="1043">
        <f t="shared" si="17"/>
        <v>0</v>
      </c>
      <c r="J35" s="1043">
        <f t="shared" si="17"/>
        <v>0</v>
      </c>
      <c r="K35" s="1043">
        <f t="shared" si="17"/>
        <v>27252</v>
      </c>
      <c r="L35" s="1043">
        <f t="shared" si="17"/>
        <v>820.9937520000001</v>
      </c>
      <c r="M35" s="1043">
        <f t="shared" si="17"/>
        <v>27252</v>
      </c>
      <c r="N35" s="1043">
        <f t="shared" si="17"/>
        <v>820.9937520000001</v>
      </c>
      <c r="O35" s="1043">
        <f t="shared" si="12"/>
        <v>0</v>
      </c>
      <c r="P35" s="1510">
        <f t="shared" si="12"/>
        <v>0</v>
      </c>
      <c r="Q35" s="1042">
        <f t="shared" si="13"/>
        <v>0</v>
      </c>
      <c r="R35" s="1041">
        <f t="shared" si="13"/>
        <v>0</v>
      </c>
      <c r="S35" s="1040">
        <f t="shared" si="14"/>
        <v>0</v>
      </c>
      <c r="T35" s="1043">
        <f t="shared" si="14"/>
        <v>0</v>
      </c>
      <c r="U35" s="1043">
        <f t="shared" si="13"/>
        <v>0</v>
      </c>
      <c r="V35" s="1044">
        <f t="shared" si="13"/>
        <v>0</v>
      </c>
    </row>
    <row r="36" spans="1:22" s="30" customFormat="1" ht="15" customHeight="1">
      <c r="A36" s="1020"/>
      <c r="B36" s="1021" t="s">
        <v>7</v>
      </c>
      <c r="C36" s="1022">
        <f t="shared" si="10"/>
        <v>193</v>
      </c>
      <c r="D36" s="1508">
        <f aca="true" t="shared" si="18" ref="D36:N36">D39</f>
        <v>444</v>
      </c>
      <c r="E36" s="1027">
        <f t="shared" si="18"/>
        <v>27252</v>
      </c>
      <c r="F36" s="1026">
        <f t="shared" si="18"/>
        <v>820.993752</v>
      </c>
      <c r="G36" s="369">
        <f t="shared" si="18"/>
        <v>22533</v>
      </c>
      <c r="H36" s="1024">
        <f t="shared" si="18"/>
        <v>678.829158</v>
      </c>
      <c r="I36" s="1025">
        <f t="shared" si="18"/>
        <v>0</v>
      </c>
      <c r="J36" s="1025">
        <f t="shared" si="18"/>
        <v>0</v>
      </c>
      <c r="K36" s="1025">
        <f t="shared" si="18"/>
        <v>22533</v>
      </c>
      <c r="L36" s="1025">
        <f t="shared" si="18"/>
        <v>678.829158</v>
      </c>
      <c r="M36" s="1025">
        <f t="shared" si="18"/>
        <v>22533</v>
      </c>
      <c r="N36" s="1025">
        <f t="shared" si="18"/>
        <v>678.829158</v>
      </c>
      <c r="O36" s="1025">
        <f t="shared" si="12"/>
        <v>0</v>
      </c>
      <c r="P36" s="1508">
        <f t="shared" si="12"/>
        <v>0</v>
      </c>
      <c r="Q36" s="1024">
        <f t="shared" si="13"/>
        <v>0</v>
      </c>
      <c r="R36" s="1023">
        <f t="shared" si="13"/>
        <v>0</v>
      </c>
      <c r="S36" s="1022">
        <f t="shared" si="14"/>
        <v>0</v>
      </c>
      <c r="T36" s="1025">
        <f t="shared" si="14"/>
        <v>0</v>
      </c>
      <c r="U36" s="1025">
        <f t="shared" si="13"/>
        <v>0</v>
      </c>
      <c r="V36" s="1026">
        <f t="shared" si="13"/>
        <v>0</v>
      </c>
    </row>
    <row r="37" spans="1:22" s="49" customFormat="1" ht="15" customHeight="1">
      <c r="A37" s="1047"/>
      <c r="B37" s="1048" t="s">
        <v>8</v>
      </c>
      <c r="C37" s="1049">
        <f t="shared" si="10"/>
        <v>719</v>
      </c>
      <c r="D37" s="1511">
        <f aca="true" t="shared" si="19" ref="D37:N37">D40</f>
        <v>277</v>
      </c>
      <c r="E37" s="1054">
        <f t="shared" si="19"/>
        <v>4719</v>
      </c>
      <c r="F37" s="1053">
        <f t="shared" si="19"/>
        <v>142.16459400000002</v>
      </c>
      <c r="G37" s="1084">
        <f t="shared" si="19"/>
        <v>4719</v>
      </c>
      <c r="H37" s="1051">
        <f t="shared" si="19"/>
        <v>142.16459400000002</v>
      </c>
      <c r="I37" s="1052">
        <f t="shared" si="19"/>
        <v>0</v>
      </c>
      <c r="J37" s="1052">
        <f t="shared" si="19"/>
        <v>0</v>
      </c>
      <c r="K37" s="1052">
        <f t="shared" si="19"/>
        <v>4719</v>
      </c>
      <c r="L37" s="1052">
        <f t="shared" si="19"/>
        <v>142.16459400000002</v>
      </c>
      <c r="M37" s="1052">
        <f t="shared" si="19"/>
        <v>4719</v>
      </c>
      <c r="N37" s="1052">
        <f t="shared" si="19"/>
        <v>142.16459400000002</v>
      </c>
      <c r="O37" s="1052">
        <f t="shared" si="12"/>
        <v>0</v>
      </c>
      <c r="P37" s="1511">
        <f t="shared" si="12"/>
        <v>0</v>
      </c>
      <c r="Q37" s="1051">
        <f t="shared" si="13"/>
        <v>0</v>
      </c>
      <c r="R37" s="1050">
        <f t="shared" si="13"/>
        <v>0</v>
      </c>
      <c r="S37" s="1049">
        <f t="shared" si="14"/>
        <v>0</v>
      </c>
      <c r="T37" s="1052">
        <f t="shared" si="14"/>
        <v>0</v>
      </c>
      <c r="U37" s="1052">
        <f t="shared" si="13"/>
        <v>0</v>
      </c>
      <c r="V37" s="1053">
        <f t="shared" si="13"/>
        <v>0</v>
      </c>
    </row>
    <row r="38" spans="1:22" s="426" customFormat="1" ht="15" customHeight="1">
      <c r="A38" s="1365"/>
      <c r="B38" s="1366" t="s">
        <v>49</v>
      </c>
      <c r="C38" s="924">
        <f>SUM(C39:C40)</f>
        <v>912</v>
      </c>
      <c r="D38" s="2365">
        <f>SUM(D39:D40)</f>
        <v>721</v>
      </c>
      <c r="E38" s="1842">
        <f aca="true" t="shared" si="20" ref="E38:N38">SUM(E39:E40)</f>
        <v>31971</v>
      </c>
      <c r="F38" s="1453">
        <f t="shared" si="20"/>
        <v>963.1583459999999</v>
      </c>
      <c r="G38" s="1451">
        <f>SUM(G39:G40)</f>
        <v>27252</v>
      </c>
      <c r="H38" s="1450">
        <f>SUM(H39:H40)</f>
        <v>820.9937520000001</v>
      </c>
      <c r="I38" s="1452">
        <f t="shared" si="20"/>
        <v>0</v>
      </c>
      <c r="J38" s="1452">
        <f t="shared" si="20"/>
        <v>0</v>
      </c>
      <c r="K38" s="1452">
        <f t="shared" si="20"/>
        <v>27252</v>
      </c>
      <c r="L38" s="1452">
        <f t="shared" si="20"/>
        <v>820.9937520000001</v>
      </c>
      <c r="M38" s="1452">
        <f t="shared" si="20"/>
        <v>27252</v>
      </c>
      <c r="N38" s="1452">
        <f t="shared" si="20"/>
        <v>820.9937520000001</v>
      </c>
      <c r="O38" s="1452">
        <f aca="true" t="shared" si="21" ref="O38:V38">SUM(O39:O40)</f>
        <v>0</v>
      </c>
      <c r="P38" s="2365">
        <f t="shared" si="21"/>
        <v>0</v>
      </c>
      <c r="Q38" s="1450">
        <f t="shared" si="21"/>
        <v>0</v>
      </c>
      <c r="R38" s="314">
        <f t="shared" si="21"/>
        <v>0</v>
      </c>
      <c r="S38" s="924">
        <f>SUM(S39:S40)</f>
        <v>0</v>
      </c>
      <c r="T38" s="1452">
        <f>SUM(T39:T40)</f>
        <v>0</v>
      </c>
      <c r="U38" s="1452">
        <f t="shared" si="21"/>
        <v>0</v>
      </c>
      <c r="V38" s="1453">
        <f t="shared" si="21"/>
        <v>0</v>
      </c>
    </row>
    <row r="39" spans="1:22" s="26" customFormat="1" ht="15" customHeight="1">
      <c r="A39" s="219"/>
      <c r="B39" s="834" t="s">
        <v>340</v>
      </c>
      <c r="C39" s="883">
        <v>193</v>
      </c>
      <c r="D39" s="2305">
        <v>444</v>
      </c>
      <c r="E39" s="861">
        <v>27252</v>
      </c>
      <c r="F39" s="207">
        <f>E39*30.126/1000</f>
        <v>820.993752</v>
      </c>
      <c r="G39" s="1273">
        <v>22533</v>
      </c>
      <c r="H39" s="38">
        <f>G39*30.126/1000</f>
        <v>678.829158</v>
      </c>
      <c r="I39" s="14">
        <v>0</v>
      </c>
      <c r="J39" s="14">
        <f>I39*30.126/1000</f>
        <v>0</v>
      </c>
      <c r="K39" s="14">
        <v>22533</v>
      </c>
      <c r="L39" s="14">
        <f>K39*30.126/1000</f>
        <v>678.829158</v>
      </c>
      <c r="M39" s="14">
        <v>22533</v>
      </c>
      <c r="N39" s="14">
        <f>M39*30.126/1000</f>
        <v>678.829158</v>
      </c>
      <c r="O39" s="14">
        <v>0</v>
      </c>
      <c r="P39" s="1528">
        <f>O39*30.126/1000</f>
        <v>0</v>
      </c>
      <c r="Q39" s="38"/>
      <c r="R39" s="39"/>
      <c r="S39" s="855"/>
      <c r="T39" s="14"/>
      <c r="U39" s="14"/>
      <c r="V39" s="207"/>
    </row>
    <row r="40" spans="1:22" s="25" customFormat="1" ht="15" customHeight="1" thickBot="1">
      <c r="A40" s="1385"/>
      <c r="B40" s="1073" t="s">
        <v>341</v>
      </c>
      <c r="C40" s="1296">
        <v>719</v>
      </c>
      <c r="D40" s="2368">
        <v>277</v>
      </c>
      <c r="E40" s="1836">
        <v>4719</v>
      </c>
      <c r="F40" s="1282">
        <f>E40*30.126/1000</f>
        <v>142.16459400000002</v>
      </c>
      <c r="G40" s="1279">
        <v>4719</v>
      </c>
      <c r="H40" s="1280">
        <f>G40*30.126/1000</f>
        <v>142.16459400000002</v>
      </c>
      <c r="I40" s="1281">
        <v>0</v>
      </c>
      <c r="J40" s="1281">
        <f>I40*30.126/1000</f>
        <v>0</v>
      </c>
      <c r="K40" s="1281">
        <v>4719</v>
      </c>
      <c r="L40" s="1281">
        <f>K40*30.126/1000</f>
        <v>142.16459400000002</v>
      </c>
      <c r="M40" s="1281">
        <v>4719</v>
      </c>
      <c r="N40" s="1281">
        <f>M40*30.126/1000</f>
        <v>142.16459400000002</v>
      </c>
      <c r="O40" s="1281">
        <v>0</v>
      </c>
      <c r="P40" s="1646">
        <f>O40*30.126/1000</f>
        <v>0</v>
      </c>
      <c r="Q40" s="1277"/>
      <c r="R40" s="1278"/>
      <c r="S40" s="2379"/>
      <c r="T40" s="1281"/>
      <c r="U40" s="1281"/>
      <c r="V40" s="1282"/>
    </row>
    <row r="41" spans="1:4" s="6" customFormat="1" ht="19.5" customHeight="1" thickBot="1">
      <c r="A41" s="16"/>
      <c r="C41" s="275"/>
      <c r="D41" s="275"/>
    </row>
    <row r="42" spans="1:22" s="23" customFormat="1" ht="39.75" customHeight="1" thickTop="1">
      <c r="A42" s="2905"/>
      <c r="B42" s="2934"/>
      <c r="C42" s="539" t="s">
        <v>506</v>
      </c>
      <c r="D42" s="2314" t="s">
        <v>507</v>
      </c>
      <c r="E42" s="2839" t="s">
        <v>226</v>
      </c>
      <c r="F42" s="2840"/>
      <c r="G42" s="1173" t="s">
        <v>510</v>
      </c>
      <c r="H42" s="1166" t="s">
        <v>510</v>
      </c>
      <c r="I42" s="1002" t="s">
        <v>87</v>
      </c>
      <c r="J42" s="1002" t="s">
        <v>87</v>
      </c>
      <c r="K42" s="2870" t="s">
        <v>509</v>
      </c>
      <c r="L42" s="2870"/>
      <c r="M42" s="2870" t="s">
        <v>508</v>
      </c>
      <c r="N42" s="2870"/>
      <c r="O42" s="1003" t="s">
        <v>952</v>
      </c>
      <c r="P42" s="1546" t="s">
        <v>952</v>
      </c>
      <c r="Q42" s="2948" t="s">
        <v>183</v>
      </c>
      <c r="R42" s="2949"/>
      <c r="S42" s="2892" t="s">
        <v>725</v>
      </c>
      <c r="T42" s="2875"/>
      <c r="U42" s="2875" t="s">
        <v>726</v>
      </c>
      <c r="V42" s="2878"/>
    </row>
    <row r="43" spans="1:22" s="24" customFormat="1" ht="15" customHeight="1" thickBot="1">
      <c r="A43" s="2907"/>
      <c r="B43" s="2935"/>
      <c r="C43" s="540" t="s">
        <v>966</v>
      </c>
      <c r="D43" s="2315" t="s">
        <v>966</v>
      </c>
      <c r="E43" s="2318" t="s">
        <v>435</v>
      </c>
      <c r="F43" s="2234" t="s">
        <v>966</v>
      </c>
      <c r="G43" s="571" t="s">
        <v>435</v>
      </c>
      <c r="H43" s="240" t="s">
        <v>966</v>
      </c>
      <c r="I43" s="1005" t="s">
        <v>435</v>
      </c>
      <c r="J43" s="1005" t="s">
        <v>966</v>
      </c>
      <c r="K43" s="241" t="s">
        <v>435</v>
      </c>
      <c r="L43" s="241" t="s">
        <v>966</v>
      </c>
      <c r="M43" s="241" t="s">
        <v>435</v>
      </c>
      <c r="N43" s="241" t="s">
        <v>966</v>
      </c>
      <c r="O43" s="1006" t="s">
        <v>435</v>
      </c>
      <c r="P43" s="1547" t="s">
        <v>966</v>
      </c>
      <c r="Q43" s="2250" t="s">
        <v>435</v>
      </c>
      <c r="R43" s="975" t="s">
        <v>966</v>
      </c>
      <c r="S43" s="797" t="s">
        <v>435</v>
      </c>
      <c r="T43" s="241" t="s">
        <v>966</v>
      </c>
      <c r="U43" s="241" t="s">
        <v>435</v>
      </c>
      <c r="V43" s="796" t="s">
        <v>966</v>
      </c>
    </row>
    <row r="44" spans="1:22" s="23" customFormat="1" ht="19.5" customHeight="1">
      <c r="A44" s="421" t="s">
        <v>362</v>
      </c>
      <c r="B44" s="793" t="s">
        <v>50</v>
      </c>
      <c r="C44" s="541">
        <f>C4+C32</f>
        <v>34312</v>
      </c>
      <c r="D44" s="1606">
        <f>D4+D32</f>
        <v>35873</v>
      </c>
      <c r="E44" s="2319">
        <f>E4+E32</f>
        <v>1177865</v>
      </c>
      <c r="F44" s="2320">
        <f>F4+F32</f>
        <v>35484.36099</v>
      </c>
      <c r="G44" s="488">
        <f aca="true" t="shared" si="22" ref="G44:V44">G4+G32</f>
        <v>1288851</v>
      </c>
      <c r="H44" s="488">
        <f t="shared" si="22"/>
        <v>38827.92522600001</v>
      </c>
      <c r="I44" s="488">
        <f t="shared" si="22"/>
        <v>1186263</v>
      </c>
      <c r="J44" s="488">
        <f t="shared" si="22"/>
        <v>35737.359138</v>
      </c>
      <c r="K44" s="488">
        <f t="shared" si="22"/>
        <v>1288851</v>
      </c>
      <c r="L44" s="488">
        <f t="shared" si="22"/>
        <v>38827.92522600001</v>
      </c>
      <c r="M44" s="488">
        <f t="shared" si="22"/>
        <v>1288851</v>
      </c>
      <c r="N44" s="488">
        <f t="shared" si="22"/>
        <v>38827.92522600001</v>
      </c>
      <c r="O44" s="488">
        <f t="shared" si="22"/>
        <v>1186263</v>
      </c>
      <c r="P44" s="1606">
        <f t="shared" si="22"/>
        <v>35737.359138</v>
      </c>
      <c r="Q44" s="2389">
        <f t="shared" si="22"/>
        <v>1183852</v>
      </c>
      <c r="R44" s="2390">
        <f t="shared" si="22"/>
        <v>35664.725351999994</v>
      </c>
      <c r="S44" s="541">
        <f t="shared" si="22"/>
        <v>1150359</v>
      </c>
      <c r="T44" s="487">
        <f t="shared" si="22"/>
        <v>34655.715234</v>
      </c>
      <c r="U44" s="487">
        <f t="shared" si="22"/>
        <v>1150359</v>
      </c>
      <c r="V44" s="503">
        <f t="shared" si="22"/>
        <v>34655.715234</v>
      </c>
    </row>
    <row r="45" spans="1:22" s="30" customFormat="1" ht="15" customHeight="1" thickBot="1">
      <c r="A45" s="423"/>
      <c r="B45" s="794" t="s">
        <v>965</v>
      </c>
      <c r="C45" s="542">
        <f>C5+C35</f>
        <v>32001</v>
      </c>
      <c r="D45" s="1607">
        <f>D5+D35</f>
        <v>33862</v>
      </c>
      <c r="E45" s="2321">
        <f>E5+E35</f>
        <v>1158949</v>
      </c>
      <c r="F45" s="2322">
        <f>F5+F35</f>
        <v>34914.497574</v>
      </c>
      <c r="G45" s="490">
        <f aca="true" t="shared" si="23" ref="G45:V45">G5+G35</f>
        <v>1249019</v>
      </c>
      <c r="H45" s="490">
        <f t="shared" si="23"/>
        <v>37627.946394000006</v>
      </c>
      <c r="I45" s="490">
        <f t="shared" si="23"/>
        <v>1166014</v>
      </c>
      <c r="J45" s="490">
        <f t="shared" si="23"/>
        <v>35127.337763999996</v>
      </c>
      <c r="K45" s="490">
        <f t="shared" si="23"/>
        <v>1249019</v>
      </c>
      <c r="L45" s="490">
        <f t="shared" si="23"/>
        <v>37627.946394000006</v>
      </c>
      <c r="M45" s="490">
        <f t="shared" si="23"/>
        <v>1249019</v>
      </c>
      <c r="N45" s="490">
        <f t="shared" si="23"/>
        <v>37627.946394000006</v>
      </c>
      <c r="O45" s="490">
        <f t="shared" si="23"/>
        <v>1166014</v>
      </c>
      <c r="P45" s="1607">
        <f t="shared" si="23"/>
        <v>35127.337763999996</v>
      </c>
      <c r="Q45" s="2391">
        <f t="shared" si="23"/>
        <v>1163603</v>
      </c>
      <c r="R45" s="2392">
        <f t="shared" si="23"/>
        <v>35054.703978</v>
      </c>
      <c r="S45" s="542">
        <f t="shared" si="23"/>
        <v>1130110</v>
      </c>
      <c r="T45" s="489">
        <f t="shared" si="23"/>
        <v>34045.69386</v>
      </c>
      <c r="U45" s="489">
        <f t="shared" si="23"/>
        <v>1130110</v>
      </c>
      <c r="V45" s="505">
        <f t="shared" si="23"/>
        <v>34045.69386</v>
      </c>
    </row>
    <row r="46" spans="1:22" s="30" customFormat="1" ht="15" customHeight="1" thickBot="1" thickTop="1">
      <c r="A46" s="485"/>
      <c r="B46" s="795" t="s">
        <v>967</v>
      </c>
      <c r="C46" s="543">
        <v>0</v>
      </c>
      <c r="D46" s="1608">
        <v>0</v>
      </c>
      <c r="E46" s="2323">
        <f>E19</f>
        <v>18916</v>
      </c>
      <c r="F46" s="2324">
        <f>F19</f>
        <v>569.863416</v>
      </c>
      <c r="G46" s="983">
        <f aca="true" t="shared" si="24" ref="G46:V46">G19</f>
        <v>39832</v>
      </c>
      <c r="H46" s="983">
        <f t="shared" si="24"/>
        <v>1199.978832</v>
      </c>
      <c r="I46" s="983">
        <f t="shared" si="24"/>
        <v>20249</v>
      </c>
      <c r="J46" s="983">
        <f t="shared" si="24"/>
        <v>610.0213739999999</v>
      </c>
      <c r="K46" s="983">
        <f t="shared" si="24"/>
        <v>39832</v>
      </c>
      <c r="L46" s="983">
        <f t="shared" si="24"/>
        <v>1199.978832</v>
      </c>
      <c r="M46" s="983">
        <f t="shared" si="24"/>
        <v>39832</v>
      </c>
      <c r="N46" s="983">
        <f t="shared" si="24"/>
        <v>1199.978832</v>
      </c>
      <c r="O46" s="983">
        <f t="shared" si="24"/>
        <v>20249</v>
      </c>
      <c r="P46" s="1871">
        <f t="shared" si="24"/>
        <v>610.0213739999999</v>
      </c>
      <c r="Q46" s="2387">
        <f t="shared" si="24"/>
        <v>20249</v>
      </c>
      <c r="R46" s="2388">
        <f t="shared" si="24"/>
        <v>610.0213739999999</v>
      </c>
      <c r="S46" s="491">
        <f t="shared" si="24"/>
        <v>20249</v>
      </c>
      <c r="T46" s="491">
        <f t="shared" si="24"/>
        <v>610.021374</v>
      </c>
      <c r="U46" s="491">
        <f t="shared" si="24"/>
        <v>20249</v>
      </c>
      <c r="V46" s="507">
        <f t="shared" si="24"/>
        <v>610.021374</v>
      </c>
    </row>
  </sheetData>
  <sheetProtection/>
  <mergeCells count="21">
    <mergeCell ref="S2:T2"/>
    <mergeCell ref="S30:T30"/>
    <mergeCell ref="S42:T42"/>
    <mergeCell ref="U2:V2"/>
    <mergeCell ref="U30:V30"/>
    <mergeCell ref="U42:V42"/>
    <mergeCell ref="Q2:R2"/>
    <mergeCell ref="Q30:R30"/>
    <mergeCell ref="Q42:R42"/>
    <mergeCell ref="M2:N2"/>
    <mergeCell ref="M42:N42"/>
    <mergeCell ref="M30:N30"/>
    <mergeCell ref="K42:L42"/>
    <mergeCell ref="E2:F2"/>
    <mergeCell ref="A30:B31"/>
    <mergeCell ref="A42:B43"/>
    <mergeCell ref="A2:B3"/>
    <mergeCell ref="E30:F30"/>
    <mergeCell ref="E42:F42"/>
    <mergeCell ref="K2:L2"/>
    <mergeCell ref="K30:L30"/>
  </mergeCells>
  <printOptions horizontalCentered="1"/>
  <pageMargins left="0" right="0.7874015748031497" top="1.1811023622047245" bottom="1.3779527559055118" header="0" footer="0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4"/>
  </sheetPr>
  <dimension ref="A1:V61"/>
  <sheetViews>
    <sheetView showGridLines="0" zoomScalePageLayoutView="0" workbookViewId="0" topLeftCell="A1">
      <pane xSplit="2" ySplit="3" topLeftCell="E4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0" sqref="E20"/>
    </sheetView>
  </sheetViews>
  <sheetFormatPr defaultColWidth="9.140625" defaultRowHeight="12.75"/>
  <cols>
    <col min="1" max="1" width="7.7109375" style="61" customWidth="1"/>
    <col min="2" max="2" width="70.7109375" style="3" customWidth="1"/>
    <col min="3" max="4" width="10.7109375" style="291" hidden="1" customWidth="1"/>
    <col min="5" max="6" width="10.7109375" style="52" customWidth="1"/>
    <col min="7" max="13" width="10.7109375" style="52" hidden="1" customWidth="1"/>
    <col min="14" max="14" width="10.7109375" style="3" hidden="1" customWidth="1"/>
    <col min="15" max="16" width="10.7109375" style="52" hidden="1" customWidth="1"/>
    <col min="17" max="22" width="10.7109375" style="52" customWidth="1"/>
    <col min="23" max="16384" width="9.140625" style="3" customWidth="1"/>
  </cols>
  <sheetData>
    <row r="1" spans="1:22" ht="21" hidden="1" thickBot="1" thickTop="1">
      <c r="A1" s="2272" t="s">
        <v>1122</v>
      </c>
      <c r="B1" s="2273"/>
      <c r="C1" s="2274"/>
      <c r="D1" s="2274"/>
      <c r="E1" s="2275"/>
      <c r="F1" s="2275"/>
      <c r="G1" s="2275"/>
      <c r="H1" s="2275"/>
      <c r="I1" s="2275"/>
      <c r="J1" s="2275"/>
      <c r="K1" s="2275"/>
      <c r="L1" s="2275"/>
      <c r="M1" s="2275"/>
      <c r="N1" s="2273"/>
      <c r="O1" s="2275"/>
      <c r="P1" s="2275"/>
      <c r="Q1" s="2292"/>
      <c r="R1" s="2293"/>
      <c r="S1" s="2275"/>
      <c r="T1" s="2275"/>
      <c r="U1" s="2275"/>
      <c r="V1" s="2276"/>
    </row>
    <row r="2" spans="1:22" s="30" customFormat="1" ht="39.75" customHeight="1">
      <c r="A2" s="2952"/>
      <c r="B2" s="2953"/>
      <c r="C2" s="1456" t="s">
        <v>506</v>
      </c>
      <c r="D2" s="2262" t="s">
        <v>507</v>
      </c>
      <c r="E2" s="3010" t="s">
        <v>184</v>
      </c>
      <c r="F2" s="3010"/>
      <c r="G2" s="460" t="s">
        <v>510</v>
      </c>
      <c r="H2" s="496" t="s">
        <v>510</v>
      </c>
      <c r="I2" s="497" t="s">
        <v>87</v>
      </c>
      <c r="J2" s="497" t="s">
        <v>87</v>
      </c>
      <c r="K2" s="2870" t="s">
        <v>509</v>
      </c>
      <c r="L2" s="2870"/>
      <c r="M2" s="2870" t="s">
        <v>508</v>
      </c>
      <c r="N2" s="2870"/>
      <c r="O2" s="498" t="s">
        <v>952</v>
      </c>
      <c r="P2" s="1571" t="s">
        <v>952</v>
      </c>
      <c r="Q2" s="2950" t="s">
        <v>183</v>
      </c>
      <c r="R2" s="2951"/>
      <c r="S2" s="2892" t="s">
        <v>725</v>
      </c>
      <c r="T2" s="2875"/>
      <c r="U2" s="2875" t="s">
        <v>726</v>
      </c>
      <c r="V2" s="3007"/>
    </row>
    <row r="3" spans="1:22" s="24" customFormat="1" ht="15" customHeight="1" thickBot="1">
      <c r="A3" s="3008"/>
      <c r="B3" s="3009"/>
      <c r="C3" s="1457" t="s">
        <v>966</v>
      </c>
      <c r="D3" s="2220" t="s">
        <v>966</v>
      </c>
      <c r="E3" s="239" t="s">
        <v>435</v>
      </c>
      <c r="F3" s="239" t="s">
        <v>966</v>
      </c>
      <c r="G3" s="461" t="s">
        <v>435</v>
      </c>
      <c r="H3" s="352" t="s">
        <v>966</v>
      </c>
      <c r="I3" s="499" t="s">
        <v>435</v>
      </c>
      <c r="J3" s="499" t="s">
        <v>966</v>
      </c>
      <c r="K3" s="241" t="s">
        <v>435</v>
      </c>
      <c r="L3" s="241" t="s">
        <v>966</v>
      </c>
      <c r="M3" s="241" t="s">
        <v>435</v>
      </c>
      <c r="N3" s="241" t="s">
        <v>966</v>
      </c>
      <c r="O3" s="500" t="s">
        <v>435</v>
      </c>
      <c r="P3" s="1572" t="s">
        <v>435</v>
      </c>
      <c r="Q3" s="2250" t="s">
        <v>435</v>
      </c>
      <c r="R3" s="975" t="s">
        <v>966</v>
      </c>
      <c r="S3" s="797" t="s">
        <v>435</v>
      </c>
      <c r="T3" s="241" t="s">
        <v>966</v>
      </c>
      <c r="U3" s="241" t="s">
        <v>435</v>
      </c>
      <c r="V3" s="2234" t="s">
        <v>966</v>
      </c>
    </row>
    <row r="4" spans="1:22" s="1" customFormat="1" ht="19.5" customHeight="1">
      <c r="A4" s="182" t="s">
        <v>363</v>
      </c>
      <c r="B4" s="830" t="s">
        <v>1090</v>
      </c>
      <c r="C4" s="812" t="e">
        <f>C5</f>
        <v>#REF!</v>
      </c>
      <c r="D4" s="2263" t="e">
        <f aca="true" t="shared" si="0" ref="D4:V4">D5</f>
        <v>#REF!</v>
      </c>
      <c r="E4" s="2267">
        <f t="shared" si="0"/>
        <v>0</v>
      </c>
      <c r="F4" s="2267">
        <f t="shared" si="0"/>
        <v>0</v>
      </c>
      <c r="G4" s="747" t="e">
        <f t="shared" si="0"/>
        <v>#REF!</v>
      </c>
      <c r="H4" s="580" t="e">
        <f t="shared" si="0"/>
        <v>#REF!</v>
      </c>
      <c r="I4" s="749" t="e">
        <f t="shared" si="0"/>
        <v>#REF!</v>
      </c>
      <c r="J4" s="749" t="e">
        <f t="shared" si="0"/>
        <v>#REF!</v>
      </c>
      <c r="K4" s="749" t="e">
        <f t="shared" si="0"/>
        <v>#REF!</v>
      </c>
      <c r="L4" s="749" t="e">
        <f t="shared" si="0"/>
        <v>#REF!</v>
      </c>
      <c r="M4" s="749" t="e">
        <f t="shared" si="0"/>
        <v>#REF!</v>
      </c>
      <c r="N4" s="749" t="e">
        <f t="shared" si="0"/>
        <v>#REF!</v>
      </c>
      <c r="O4" s="749" t="e">
        <f t="shared" si="0"/>
        <v>#REF!</v>
      </c>
      <c r="P4" s="2285" t="e">
        <f t="shared" si="0"/>
        <v>#REF!</v>
      </c>
      <c r="Q4" s="2294">
        <f t="shared" si="0"/>
        <v>3800</v>
      </c>
      <c r="R4" s="2295">
        <f t="shared" si="0"/>
        <v>114.4788</v>
      </c>
      <c r="S4" s="842">
        <f t="shared" si="0"/>
        <v>15570</v>
      </c>
      <c r="T4" s="749">
        <f t="shared" si="0"/>
        <v>469.06182</v>
      </c>
      <c r="U4" s="749">
        <f t="shared" si="0"/>
        <v>15570</v>
      </c>
      <c r="V4" s="2277">
        <f t="shared" si="0"/>
        <v>469.06182</v>
      </c>
    </row>
    <row r="5" spans="1:22" s="1" customFormat="1" ht="19.5" customHeight="1">
      <c r="A5" s="137" t="s">
        <v>1091</v>
      </c>
      <c r="B5" s="832" t="s">
        <v>965</v>
      </c>
      <c r="C5" s="1458" t="e">
        <f>C6+C7+'21'!#REF!+C8+C9+C10+C11+C12+C13</f>
        <v>#REF!</v>
      </c>
      <c r="D5" s="2264" t="e">
        <f>D6+D7+'21'!#REF!+D8+D9+D10+D11+D12+D13</f>
        <v>#REF!</v>
      </c>
      <c r="E5" s="2268">
        <f>E11+E13</f>
        <v>0</v>
      </c>
      <c r="F5" s="2268">
        <f>F11+F13</f>
        <v>0</v>
      </c>
      <c r="G5" s="748" t="e">
        <f>G6+G7+'21'!#REF!+G8+G9+G10+G11+G12+G13</f>
        <v>#REF!</v>
      </c>
      <c r="H5" s="750" t="e">
        <f>H6+H7+'21'!#REF!+H8+H9+H10+H11+H12+H13</f>
        <v>#REF!</v>
      </c>
      <c r="I5" s="751" t="e">
        <f>I6+I7+'21'!#REF!+I8+I9+I10+I11+I12+I13</f>
        <v>#REF!</v>
      </c>
      <c r="J5" s="751" t="e">
        <f>J6+J7+'21'!#REF!+J8+J9+J10+J11+J12+J13</f>
        <v>#REF!</v>
      </c>
      <c r="K5" s="751" t="e">
        <f>K6+K7+'21'!#REF!+K8+K9+K10+K11+K12+K13</f>
        <v>#REF!</v>
      </c>
      <c r="L5" s="751" t="e">
        <f>L6+L7+'21'!#REF!+L8+L9+L10+L11+L12+L13</f>
        <v>#REF!</v>
      </c>
      <c r="M5" s="751" t="e">
        <f>M6+M7+'21'!#REF!+M8+M9+M10+M11+M12+M13</f>
        <v>#REF!</v>
      </c>
      <c r="N5" s="751" t="e">
        <f>N6+N7+'21'!#REF!+N8+N9+N10+N11+N12+N13</f>
        <v>#REF!</v>
      </c>
      <c r="O5" s="751" t="e">
        <f>O6+O7+'21'!#REF!+O8+O9+O10+O11+O12+O13</f>
        <v>#REF!</v>
      </c>
      <c r="P5" s="2286" t="e">
        <f>P6+P7+'21'!#REF!+P8+P9+P10+P11+P12+P13</f>
        <v>#REF!</v>
      </c>
      <c r="Q5" s="2296">
        <f>Q11+Q13</f>
        <v>3800</v>
      </c>
      <c r="R5" s="2297">
        <f>R11+R13</f>
        <v>114.4788</v>
      </c>
      <c r="S5" s="2288">
        <v>15570</v>
      </c>
      <c r="T5" s="751">
        <f>S5*30.126/1000</f>
        <v>469.06182</v>
      </c>
      <c r="U5" s="751">
        <v>15570</v>
      </c>
      <c r="V5" s="2278">
        <f>U5*30.126/1000</f>
        <v>469.06182</v>
      </c>
    </row>
    <row r="6" spans="1:22" ht="15" customHeight="1" hidden="1">
      <c r="A6" s="1461"/>
      <c r="B6" s="1462" t="s">
        <v>1098</v>
      </c>
      <c r="C6" s="1459">
        <v>724</v>
      </c>
      <c r="D6" s="2265"/>
      <c r="E6" s="2269"/>
      <c r="F6" s="2269"/>
      <c r="G6" s="465"/>
      <c r="H6" s="353"/>
      <c r="I6" s="258"/>
      <c r="J6" s="258"/>
      <c r="K6" s="258"/>
      <c r="L6" s="258"/>
      <c r="M6" s="258"/>
      <c r="N6" s="258"/>
      <c r="O6" s="258"/>
      <c r="P6" s="1612"/>
      <c r="Q6" s="2298"/>
      <c r="R6" s="2299"/>
      <c r="S6" s="2289"/>
      <c r="T6" s="258"/>
      <c r="U6" s="258"/>
      <c r="V6" s="2279"/>
    </row>
    <row r="7" spans="1:22" ht="15" customHeight="1" hidden="1">
      <c r="A7" s="196"/>
      <c r="B7" s="1463" t="s">
        <v>1099</v>
      </c>
      <c r="C7" s="1460"/>
      <c r="D7" s="2266">
        <v>1674</v>
      </c>
      <c r="E7" s="2270"/>
      <c r="F7" s="2270"/>
      <c r="G7" s="445"/>
      <c r="H7" s="355"/>
      <c r="I7" s="341"/>
      <c r="J7" s="341"/>
      <c r="K7" s="341"/>
      <c r="L7" s="341"/>
      <c r="M7" s="341"/>
      <c r="N7" s="341"/>
      <c r="O7" s="341"/>
      <c r="P7" s="2287"/>
      <c r="Q7" s="2300"/>
      <c r="R7" s="2301"/>
      <c r="S7" s="2290"/>
      <c r="T7" s="341"/>
      <c r="U7" s="341"/>
      <c r="V7" s="2280"/>
    </row>
    <row r="8" spans="1:22" ht="15" customHeight="1" hidden="1">
      <c r="A8" s="192"/>
      <c r="B8" s="1441" t="s">
        <v>1092</v>
      </c>
      <c r="C8" s="783"/>
      <c r="D8" s="458"/>
      <c r="E8" s="9"/>
      <c r="F8" s="9"/>
      <c r="G8" s="446"/>
      <c r="H8" s="354"/>
      <c r="I8" s="249"/>
      <c r="J8" s="249">
        <f aca="true" t="shared" si="1" ref="J8:J13">I8*30.126/1000</f>
        <v>0</v>
      </c>
      <c r="K8" s="249">
        <v>500</v>
      </c>
      <c r="L8" s="249">
        <f>K8*30.126/1000</f>
        <v>15.063</v>
      </c>
      <c r="M8" s="249">
        <v>500</v>
      </c>
      <c r="N8" s="249">
        <f>M8*30.126/1000</f>
        <v>15.063</v>
      </c>
      <c r="O8" s="249"/>
      <c r="P8" s="1553">
        <f aca="true" t="shared" si="2" ref="P8:P13">O8*30.126/1000</f>
        <v>0</v>
      </c>
      <c r="Q8" s="2302"/>
      <c r="R8" s="2303"/>
      <c r="S8" s="2291"/>
      <c r="T8" s="249"/>
      <c r="U8" s="249"/>
      <c r="V8" s="2281"/>
    </row>
    <row r="9" spans="1:22" ht="15" customHeight="1" hidden="1">
      <c r="A9" s="192"/>
      <c r="B9" s="1441" t="s">
        <v>1093</v>
      </c>
      <c r="C9" s="783"/>
      <c r="D9" s="458">
        <v>3</v>
      </c>
      <c r="E9" s="9"/>
      <c r="F9" s="9"/>
      <c r="G9" s="446"/>
      <c r="H9" s="354"/>
      <c r="I9" s="249"/>
      <c r="J9" s="249">
        <f t="shared" si="1"/>
        <v>0</v>
      </c>
      <c r="K9" s="249">
        <v>500</v>
      </c>
      <c r="L9" s="249">
        <f>K9*30.126/1000</f>
        <v>15.063</v>
      </c>
      <c r="M9" s="249">
        <v>500</v>
      </c>
      <c r="N9" s="249">
        <f>M9*30.126/1000</f>
        <v>15.063</v>
      </c>
      <c r="O9" s="249"/>
      <c r="P9" s="1553">
        <f t="shared" si="2"/>
        <v>0</v>
      </c>
      <c r="Q9" s="2302"/>
      <c r="R9" s="2303"/>
      <c r="S9" s="2291"/>
      <c r="T9" s="249"/>
      <c r="U9" s="249"/>
      <c r="V9" s="2281"/>
    </row>
    <row r="10" spans="1:22" ht="15" customHeight="1" hidden="1">
      <c r="A10" s="192"/>
      <c r="B10" s="1441" t="s">
        <v>1094</v>
      </c>
      <c r="C10" s="783">
        <v>6</v>
      </c>
      <c r="D10" s="458"/>
      <c r="E10" s="9"/>
      <c r="F10" s="9"/>
      <c r="G10" s="446"/>
      <c r="H10" s="354"/>
      <c r="I10" s="249"/>
      <c r="J10" s="249">
        <f t="shared" si="1"/>
        <v>0</v>
      </c>
      <c r="K10" s="249"/>
      <c r="L10" s="249"/>
      <c r="M10" s="249"/>
      <c r="N10" s="249"/>
      <c r="O10" s="249"/>
      <c r="P10" s="1553">
        <f t="shared" si="2"/>
        <v>0</v>
      </c>
      <c r="Q10" s="2302"/>
      <c r="R10" s="2303">
        <f>Q10*30.126/1000</f>
        <v>0</v>
      </c>
      <c r="S10" s="2291"/>
      <c r="T10" s="249"/>
      <c r="U10" s="249"/>
      <c r="V10" s="2281"/>
    </row>
    <row r="11" spans="1:22" ht="15" customHeight="1">
      <c r="A11" s="192"/>
      <c r="B11" s="1441" t="s">
        <v>1095</v>
      </c>
      <c r="C11" s="783"/>
      <c r="D11" s="458"/>
      <c r="E11" s="9"/>
      <c r="F11" s="9"/>
      <c r="G11" s="446">
        <v>3300</v>
      </c>
      <c r="H11" s="354">
        <f>G11*30.126/1000</f>
        <v>99.4158</v>
      </c>
      <c r="I11" s="249">
        <v>3300</v>
      </c>
      <c r="J11" s="249">
        <f t="shared" si="1"/>
        <v>99.4158</v>
      </c>
      <c r="K11" s="249">
        <v>3300</v>
      </c>
      <c r="L11" s="249">
        <f>K11*30.126/1000</f>
        <v>99.4158</v>
      </c>
      <c r="M11" s="249">
        <v>3300</v>
      </c>
      <c r="N11" s="249">
        <f>M11*30.126/1000</f>
        <v>99.4158</v>
      </c>
      <c r="O11" s="249">
        <v>3300</v>
      </c>
      <c r="P11" s="1553">
        <f t="shared" si="2"/>
        <v>99.4158</v>
      </c>
      <c r="Q11" s="2302">
        <v>3300</v>
      </c>
      <c r="R11" s="2303">
        <f>Q11*30.126/1000</f>
        <v>99.4158</v>
      </c>
      <c r="S11" s="2291"/>
      <c r="T11" s="249"/>
      <c r="U11" s="249"/>
      <c r="V11" s="2281"/>
    </row>
    <row r="12" spans="1:22" ht="15" customHeight="1" hidden="1">
      <c r="A12" s="192"/>
      <c r="B12" s="1441" t="s">
        <v>568</v>
      </c>
      <c r="C12" s="783"/>
      <c r="D12" s="458"/>
      <c r="E12" s="9"/>
      <c r="F12" s="9"/>
      <c r="G12" s="446"/>
      <c r="H12" s="354"/>
      <c r="I12" s="249"/>
      <c r="J12" s="249">
        <f t="shared" si="1"/>
        <v>0</v>
      </c>
      <c r="K12" s="249">
        <v>3300</v>
      </c>
      <c r="L12" s="249">
        <f>K12*30.126/1000</f>
        <v>99.4158</v>
      </c>
      <c r="M12" s="249">
        <v>3300</v>
      </c>
      <c r="N12" s="249">
        <f>M12*30.126/1000</f>
        <v>99.4158</v>
      </c>
      <c r="O12" s="249"/>
      <c r="P12" s="1553">
        <f t="shared" si="2"/>
        <v>0</v>
      </c>
      <c r="Q12" s="2302"/>
      <c r="R12" s="2303"/>
      <c r="S12" s="2291"/>
      <c r="T12" s="249"/>
      <c r="U12" s="249"/>
      <c r="V12" s="2281"/>
    </row>
    <row r="13" spans="1:22" ht="15" customHeight="1" thickBot="1">
      <c r="A13" s="1464"/>
      <c r="B13" s="1465" t="s">
        <v>1096</v>
      </c>
      <c r="C13" s="2282">
        <v>100</v>
      </c>
      <c r="D13" s="2283"/>
      <c r="E13" s="141"/>
      <c r="F13" s="141"/>
      <c r="G13" s="664">
        <v>500</v>
      </c>
      <c r="H13" s="2284">
        <f>G13*30.126/1000</f>
        <v>15.063</v>
      </c>
      <c r="I13" s="433">
        <v>500</v>
      </c>
      <c r="J13" s="433">
        <f t="shared" si="1"/>
        <v>15.063</v>
      </c>
      <c r="K13" s="433">
        <v>500</v>
      </c>
      <c r="L13" s="433">
        <f>K13*30.126/1000</f>
        <v>15.063</v>
      </c>
      <c r="M13" s="433">
        <v>500</v>
      </c>
      <c r="N13" s="433">
        <f>M13*30.126/1000</f>
        <v>15.063</v>
      </c>
      <c r="O13" s="433">
        <v>500</v>
      </c>
      <c r="P13" s="1866">
        <f t="shared" si="2"/>
        <v>15.063</v>
      </c>
      <c r="Q13" s="2260">
        <v>500</v>
      </c>
      <c r="R13" s="2261">
        <f>Q13*30.126/1000</f>
        <v>15.063</v>
      </c>
      <c r="S13" s="2247"/>
      <c r="T13" s="433"/>
      <c r="U13" s="433"/>
      <c r="V13" s="2241"/>
    </row>
    <row r="14" ht="19.5" customHeight="1" thickBot="1"/>
    <row r="15" spans="1:22" s="23" customFormat="1" ht="39.75" customHeight="1" thickTop="1">
      <c r="A15" s="2884"/>
      <c r="B15" s="2885"/>
      <c r="C15" s="360" t="s">
        <v>506</v>
      </c>
      <c r="D15" s="2112" t="s">
        <v>507</v>
      </c>
      <c r="E15" s="2890" t="s">
        <v>184</v>
      </c>
      <c r="F15" s="2891"/>
      <c r="G15" s="570" t="s">
        <v>510</v>
      </c>
      <c r="H15" s="473" t="s">
        <v>510</v>
      </c>
      <c r="I15" s="474" t="s">
        <v>87</v>
      </c>
      <c r="J15" s="474" t="s">
        <v>87</v>
      </c>
      <c r="K15" s="2871" t="s">
        <v>509</v>
      </c>
      <c r="L15" s="2871"/>
      <c r="M15" s="2871" t="s">
        <v>508</v>
      </c>
      <c r="N15" s="2871"/>
      <c r="O15" s="475" t="s">
        <v>952</v>
      </c>
      <c r="P15" s="767" t="s">
        <v>952</v>
      </c>
      <c r="Q15" s="2932" t="s">
        <v>183</v>
      </c>
      <c r="R15" s="2933"/>
      <c r="S15" s="2880" t="s">
        <v>725</v>
      </c>
      <c r="T15" s="2877"/>
      <c r="U15" s="2877" t="s">
        <v>726</v>
      </c>
      <c r="V15" s="2879"/>
    </row>
    <row r="16" spans="1:22" s="24" customFormat="1" ht="15" customHeight="1" thickBot="1">
      <c r="A16" s="2886"/>
      <c r="B16" s="2887"/>
      <c r="C16" s="347" t="s">
        <v>966</v>
      </c>
      <c r="D16" s="2304" t="s">
        <v>966</v>
      </c>
      <c r="E16" s="768" t="s">
        <v>435</v>
      </c>
      <c r="F16" s="307" t="s">
        <v>966</v>
      </c>
      <c r="G16" s="461" t="s">
        <v>435</v>
      </c>
      <c r="H16" s="346" t="s">
        <v>966</v>
      </c>
      <c r="I16" s="450" t="s">
        <v>435</v>
      </c>
      <c r="J16" s="450" t="s">
        <v>966</v>
      </c>
      <c r="K16" s="239" t="s">
        <v>435</v>
      </c>
      <c r="L16" s="239" t="s">
        <v>966</v>
      </c>
      <c r="M16" s="239" t="s">
        <v>435</v>
      </c>
      <c r="N16" s="239" t="s">
        <v>966</v>
      </c>
      <c r="O16" s="451" t="s">
        <v>435</v>
      </c>
      <c r="P16" s="765" t="s">
        <v>435</v>
      </c>
      <c r="Q16" s="2329" t="s">
        <v>435</v>
      </c>
      <c r="R16" s="1004" t="s">
        <v>966</v>
      </c>
      <c r="S16" s="2117" t="s">
        <v>435</v>
      </c>
      <c r="T16" s="239" t="s">
        <v>966</v>
      </c>
      <c r="U16" s="239" t="s">
        <v>435</v>
      </c>
      <c r="V16" s="307" t="s">
        <v>966</v>
      </c>
    </row>
    <row r="17" spans="1:22" s="420" customFormat="1" ht="19.5" customHeight="1">
      <c r="A17" s="1011"/>
      <c r="B17" s="1012" t="s">
        <v>318</v>
      </c>
      <c r="C17" s="1013">
        <f aca="true" t="shared" si="3" ref="C17:N17">C20+C44</f>
        <v>352</v>
      </c>
      <c r="D17" s="1507">
        <f t="shared" si="3"/>
        <v>2146</v>
      </c>
      <c r="E17" s="1018">
        <f t="shared" si="3"/>
        <v>1046629</v>
      </c>
      <c r="F17" s="1017">
        <f t="shared" si="3"/>
        <v>31530.745254</v>
      </c>
      <c r="G17" s="1102">
        <f t="shared" si="3"/>
        <v>5457360</v>
      </c>
      <c r="H17" s="1015">
        <f t="shared" si="3"/>
        <v>164408.42735999997</v>
      </c>
      <c r="I17" s="1016">
        <f t="shared" si="3"/>
        <v>5457360</v>
      </c>
      <c r="J17" s="1016">
        <f t="shared" si="3"/>
        <v>164408.42735999997</v>
      </c>
      <c r="K17" s="1016">
        <f t="shared" si="3"/>
        <v>3941293</v>
      </c>
      <c r="L17" s="1016">
        <f t="shared" si="3"/>
        <v>118735.39291800001</v>
      </c>
      <c r="M17" s="1016">
        <f t="shared" si="3"/>
        <v>140000</v>
      </c>
      <c r="N17" s="1016">
        <f t="shared" si="3"/>
        <v>4217.639999999999</v>
      </c>
      <c r="O17" s="1016">
        <f aca="true" t="shared" si="4" ref="O17:P19">O20+O44</f>
        <v>5457360</v>
      </c>
      <c r="P17" s="1507">
        <f t="shared" si="4"/>
        <v>164408.42735999997</v>
      </c>
      <c r="Q17" s="2330">
        <f aca="true" t="shared" si="5" ref="Q17:R19">Q20+Q44</f>
        <v>5457360</v>
      </c>
      <c r="R17" s="2331">
        <f t="shared" si="5"/>
        <v>164408.42735999997</v>
      </c>
      <c r="S17" s="1013">
        <f aca="true" t="shared" si="6" ref="S17:V19">S20+S44</f>
        <v>3941293</v>
      </c>
      <c r="T17" s="1016">
        <f t="shared" si="6"/>
        <v>118735.39291800001</v>
      </c>
      <c r="U17" s="1016">
        <f t="shared" si="6"/>
        <v>140000</v>
      </c>
      <c r="V17" s="1017">
        <f t="shared" si="6"/>
        <v>4217.639999999999</v>
      </c>
    </row>
    <row r="18" spans="1:22" s="30" customFormat="1" ht="15" customHeight="1">
      <c r="A18" s="1020"/>
      <c r="B18" s="1021" t="s">
        <v>7</v>
      </c>
      <c r="C18" s="1022">
        <f aca="true" t="shared" si="7" ref="C18:N18">C21+C45</f>
        <v>226</v>
      </c>
      <c r="D18" s="1508">
        <f t="shared" si="7"/>
        <v>0</v>
      </c>
      <c r="E18" s="1027">
        <f t="shared" si="7"/>
        <v>173278</v>
      </c>
      <c r="F18" s="1026">
        <f t="shared" si="7"/>
        <v>5220.173027999999</v>
      </c>
      <c r="G18" s="369">
        <f t="shared" si="7"/>
        <v>304570</v>
      </c>
      <c r="H18" s="1024">
        <f t="shared" si="7"/>
        <v>9175.47582</v>
      </c>
      <c r="I18" s="1025">
        <f t="shared" si="7"/>
        <v>304570</v>
      </c>
      <c r="J18" s="1025">
        <f t="shared" si="7"/>
        <v>9175.47582</v>
      </c>
      <c r="K18" s="1025">
        <f t="shared" si="7"/>
        <v>275651</v>
      </c>
      <c r="L18" s="1025">
        <f t="shared" si="7"/>
        <v>8304.262026</v>
      </c>
      <c r="M18" s="1025">
        <f t="shared" si="7"/>
        <v>125000</v>
      </c>
      <c r="N18" s="1025">
        <f t="shared" si="7"/>
        <v>3765.75</v>
      </c>
      <c r="O18" s="1025">
        <f t="shared" si="4"/>
        <v>304570</v>
      </c>
      <c r="P18" s="1508">
        <f t="shared" si="4"/>
        <v>9175.47582</v>
      </c>
      <c r="Q18" s="2332">
        <f t="shared" si="5"/>
        <v>304570</v>
      </c>
      <c r="R18" s="2333">
        <f t="shared" si="5"/>
        <v>9175.47582</v>
      </c>
      <c r="S18" s="1022">
        <f t="shared" si="6"/>
        <v>275651</v>
      </c>
      <c r="T18" s="1025">
        <f t="shared" si="6"/>
        <v>8304.262026</v>
      </c>
      <c r="U18" s="1025">
        <f t="shared" si="6"/>
        <v>125000</v>
      </c>
      <c r="V18" s="1026">
        <f t="shared" si="6"/>
        <v>3765.75</v>
      </c>
    </row>
    <row r="19" spans="1:22" s="49" customFormat="1" ht="15" customHeight="1">
      <c r="A19" s="1029"/>
      <c r="B19" s="1030" t="s">
        <v>8</v>
      </c>
      <c r="C19" s="1031">
        <f aca="true" t="shared" si="8" ref="C19:N19">C22+C46</f>
        <v>91</v>
      </c>
      <c r="D19" s="1509">
        <f t="shared" si="8"/>
        <v>175</v>
      </c>
      <c r="E19" s="1036">
        <f t="shared" si="8"/>
        <v>873351</v>
      </c>
      <c r="F19" s="1035">
        <f t="shared" si="8"/>
        <v>26310.572226000004</v>
      </c>
      <c r="G19" s="1082">
        <f t="shared" si="8"/>
        <v>5152790</v>
      </c>
      <c r="H19" s="1033">
        <f t="shared" si="8"/>
        <v>155232.95153999998</v>
      </c>
      <c r="I19" s="1034">
        <f t="shared" si="8"/>
        <v>5152790</v>
      </c>
      <c r="J19" s="1034">
        <f t="shared" si="8"/>
        <v>155232.95153999998</v>
      </c>
      <c r="K19" s="1034">
        <f t="shared" si="8"/>
        <v>3665642</v>
      </c>
      <c r="L19" s="1034">
        <f t="shared" si="8"/>
        <v>110431.13089200002</v>
      </c>
      <c r="M19" s="1034">
        <f t="shared" si="8"/>
        <v>15000</v>
      </c>
      <c r="N19" s="1034">
        <f t="shared" si="8"/>
        <v>451.89</v>
      </c>
      <c r="O19" s="1034">
        <f t="shared" si="4"/>
        <v>5152790</v>
      </c>
      <c r="P19" s="1509">
        <f t="shared" si="4"/>
        <v>155232.95153999998</v>
      </c>
      <c r="Q19" s="2334">
        <f t="shared" si="5"/>
        <v>5152790</v>
      </c>
      <c r="R19" s="2335">
        <f t="shared" si="5"/>
        <v>155232.95153999998</v>
      </c>
      <c r="S19" s="1031">
        <f t="shared" si="6"/>
        <v>3665642</v>
      </c>
      <c r="T19" s="1034">
        <f t="shared" si="6"/>
        <v>110431.13089200002</v>
      </c>
      <c r="U19" s="1034">
        <f t="shared" si="6"/>
        <v>15000</v>
      </c>
      <c r="V19" s="1035">
        <f t="shared" si="6"/>
        <v>451.89</v>
      </c>
    </row>
    <row r="20" spans="1:22" s="49" customFormat="1" ht="15" customHeight="1">
      <c r="A20" s="1038"/>
      <c r="B20" s="1039" t="s">
        <v>965</v>
      </c>
      <c r="C20" s="1040">
        <f>C23+C26+C29+C32+C35+C38+C41</f>
        <v>317</v>
      </c>
      <c r="D20" s="1510">
        <f aca="true" t="shared" si="9" ref="D20:N20">D23+D26+D29+D32+D35+D38+D41</f>
        <v>248</v>
      </c>
      <c r="E20" s="1045">
        <f t="shared" si="9"/>
        <v>108900</v>
      </c>
      <c r="F20" s="1044">
        <f t="shared" si="9"/>
        <v>3280.7214</v>
      </c>
      <c r="G20" s="1083">
        <f t="shared" si="9"/>
        <v>140575</v>
      </c>
      <c r="H20" s="1042">
        <f t="shared" si="9"/>
        <v>4234.96245</v>
      </c>
      <c r="I20" s="1043">
        <f t="shared" si="9"/>
        <v>140575</v>
      </c>
      <c r="J20" s="1043">
        <f t="shared" si="9"/>
        <v>4234.96245</v>
      </c>
      <c r="K20" s="1043">
        <f t="shared" si="9"/>
        <v>96933</v>
      </c>
      <c r="L20" s="1043">
        <f t="shared" si="9"/>
        <v>2920.203558</v>
      </c>
      <c r="M20" s="1043">
        <f t="shared" si="9"/>
        <v>40000</v>
      </c>
      <c r="N20" s="1043">
        <f t="shared" si="9"/>
        <v>1205.04</v>
      </c>
      <c r="O20" s="1043">
        <f aca="true" t="shared" si="10" ref="O20:P22">O23+O26+O29+O32+O35+O38+O41</f>
        <v>140575</v>
      </c>
      <c r="P20" s="1510">
        <f t="shared" si="10"/>
        <v>4234.96245</v>
      </c>
      <c r="Q20" s="2336">
        <f aca="true" t="shared" si="11" ref="Q20:R22">Q23+Q26+Q29+Q32+Q35+Q38+Q41</f>
        <v>140575</v>
      </c>
      <c r="R20" s="2337">
        <f t="shared" si="11"/>
        <v>4234.96245</v>
      </c>
      <c r="S20" s="1040">
        <f aca="true" t="shared" si="12" ref="S20:V22">S23+S26+S29+S32+S35+S38+S41</f>
        <v>96933</v>
      </c>
      <c r="T20" s="1043">
        <f t="shared" si="12"/>
        <v>2920.203558</v>
      </c>
      <c r="U20" s="1043">
        <f t="shared" si="12"/>
        <v>40000</v>
      </c>
      <c r="V20" s="1044">
        <f t="shared" si="12"/>
        <v>1205.04</v>
      </c>
    </row>
    <row r="21" spans="1:22" s="30" customFormat="1" ht="15" customHeight="1">
      <c r="A21" s="1020"/>
      <c r="B21" s="1021" t="s">
        <v>7</v>
      </c>
      <c r="C21" s="1022">
        <f>C24+C27+C30+C33+C36+C39+C42</f>
        <v>226</v>
      </c>
      <c r="D21" s="1508">
        <f aca="true" t="shared" si="13" ref="D21:N21">D24+D27+D30+D33+D36+D39+D42</f>
        <v>0</v>
      </c>
      <c r="E21" s="1027">
        <f t="shared" si="13"/>
        <v>98278</v>
      </c>
      <c r="F21" s="1026">
        <f t="shared" si="13"/>
        <v>2960.723028</v>
      </c>
      <c r="G21" s="369">
        <f t="shared" si="13"/>
        <v>74910</v>
      </c>
      <c r="H21" s="1024">
        <f t="shared" si="13"/>
        <v>2256.73866</v>
      </c>
      <c r="I21" s="1025">
        <f t="shared" si="13"/>
        <v>74910</v>
      </c>
      <c r="J21" s="1025">
        <f t="shared" si="13"/>
        <v>2256.73866</v>
      </c>
      <c r="K21" s="1025">
        <f t="shared" si="13"/>
        <v>65583</v>
      </c>
      <c r="L21" s="1025">
        <f t="shared" si="13"/>
        <v>1975.7534580000001</v>
      </c>
      <c r="M21" s="1025">
        <f t="shared" si="13"/>
        <v>25000</v>
      </c>
      <c r="N21" s="1025">
        <f t="shared" si="13"/>
        <v>753.15</v>
      </c>
      <c r="O21" s="1025">
        <f t="shared" si="10"/>
        <v>74910</v>
      </c>
      <c r="P21" s="1508">
        <f t="shared" si="10"/>
        <v>2256.73866</v>
      </c>
      <c r="Q21" s="2332">
        <f t="shared" si="11"/>
        <v>74910</v>
      </c>
      <c r="R21" s="2333">
        <f t="shared" si="11"/>
        <v>2256.73866</v>
      </c>
      <c r="S21" s="1022">
        <f t="shared" si="12"/>
        <v>65583</v>
      </c>
      <c r="T21" s="1025">
        <f t="shared" si="12"/>
        <v>1975.7534580000001</v>
      </c>
      <c r="U21" s="1025">
        <f t="shared" si="12"/>
        <v>25000</v>
      </c>
      <c r="V21" s="1026">
        <f t="shared" si="12"/>
        <v>753.15</v>
      </c>
    </row>
    <row r="22" spans="1:22" s="49" customFormat="1" ht="15" customHeight="1">
      <c r="A22" s="1047"/>
      <c r="B22" s="1048" t="s">
        <v>8</v>
      </c>
      <c r="C22" s="1049">
        <f>C25+C28+C31+C34+C37+C40+C43</f>
        <v>91</v>
      </c>
      <c r="D22" s="1511">
        <f aca="true" t="shared" si="14" ref="D22:N22">D25+D28+D31+D34+D37+D40+D43</f>
        <v>175</v>
      </c>
      <c r="E22" s="1054">
        <f t="shared" si="14"/>
        <v>10622</v>
      </c>
      <c r="F22" s="1053">
        <f t="shared" si="14"/>
        <v>319.998372</v>
      </c>
      <c r="G22" s="1084">
        <f t="shared" si="14"/>
        <v>65665</v>
      </c>
      <c r="H22" s="1051">
        <f t="shared" si="14"/>
        <v>1978.2237900000002</v>
      </c>
      <c r="I22" s="1052">
        <f t="shared" si="14"/>
        <v>65665</v>
      </c>
      <c r="J22" s="1052">
        <f t="shared" si="14"/>
        <v>1978.2237900000002</v>
      </c>
      <c r="K22" s="1052">
        <f t="shared" si="14"/>
        <v>31350</v>
      </c>
      <c r="L22" s="1052">
        <f t="shared" si="14"/>
        <v>944.4501000000001</v>
      </c>
      <c r="M22" s="1052">
        <f t="shared" si="14"/>
        <v>15000</v>
      </c>
      <c r="N22" s="1052">
        <f t="shared" si="14"/>
        <v>451.89</v>
      </c>
      <c r="O22" s="1052">
        <f t="shared" si="10"/>
        <v>65665</v>
      </c>
      <c r="P22" s="1511">
        <f t="shared" si="10"/>
        <v>1978.2237900000002</v>
      </c>
      <c r="Q22" s="2338">
        <f t="shared" si="11"/>
        <v>65665</v>
      </c>
      <c r="R22" s="2339">
        <f t="shared" si="11"/>
        <v>1978.2237900000002</v>
      </c>
      <c r="S22" s="1049">
        <f t="shared" si="12"/>
        <v>31350</v>
      </c>
      <c r="T22" s="1052">
        <f t="shared" si="12"/>
        <v>944.4501000000001</v>
      </c>
      <c r="U22" s="1052">
        <f t="shared" si="12"/>
        <v>15000</v>
      </c>
      <c r="V22" s="1053">
        <f t="shared" si="12"/>
        <v>451.89</v>
      </c>
    </row>
    <row r="23" spans="1:22" s="65" customFormat="1" ht="15" customHeight="1" hidden="1">
      <c r="A23" s="225"/>
      <c r="B23" s="1466" t="s">
        <v>1100</v>
      </c>
      <c r="C23" s="1057">
        <f>SUM(C24:C25)</f>
        <v>317</v>
      </c>
      <c r="D23" s="1681">
        <v>73</v>
      </c>
      <c r="E23" s="1843">
        <f>SUM(E24:E25)</f>
        <v>0</v>
      </c>
      <c r="F23" s="965">
        <f aca="true" t="shared" si="15" ref="F23:N23">SUM(F24:F25)</f>
        <v>0</v>
      </c>
      <c r="G23" s="1141">
        <f t="shared" si="15"/>
        <v>0</v>
      </c>
      <c r="H23" s="1096">
        <f t="shared" si="15"/>
        <v>0</v>
      </c>
      <c r="I23" s="1097">
        <f t="shared" si="15"/>
        <v>0</v>
      </c>
      <c r="J23" s="1097">
        <f t="shared" si="15"/>
        <v>0</v>
      </c>
      <c r="K23" s="1097">
        <f t="shared" si="15"/>
        <v>0</v>
      </c>
      <c r="L23" s="1097">
        <f t="shared" si="15"/>
        <v>0</v>
      </c>
      <c r="M23" s="1097">
        <f t="shared" si="15"/>
        <v>0</v>
      </c>
      <c r="N23" s="1097">
        <f t="shared" si="15"/>
        <v>0</v>
      </c>
      <c r="O23" s="1097">
        <f aca="true" t="shared" si="16" ref="O23:V23">SUM(O24:O25)</f>
        <v>0</v>
      </c>
      <c r="P23" s="1514">
        <f t="shared" si="16"/>
        <v>0</v>
      </c>
      <c r="Q23" s="2340">
        <f t="shared" si="16"/>
        <v>0</v>
      </c>
      <c r="R23" s="2341">
        <f t="shared" si="16"/>
        <v>0</v>
      </c>
      <c r="S23" s="970">
        <f t="shared" si="16"/>
        <v>0</v>
      </c>
      <c r="T23" s="1097">
        <f t="shared" si="16"/>
        <v>0</v>
      </c>
      <c r="U23" s="1097">
        <f t="shared" si="16"/>
        <v>0</v>
      </c>
      <c r="V23" s="965">
        <f t="shared" si="16"/>
        <v>0</v>
      </c>
    </row>
    <row r="24" spans="1:22" s="6" customFormat="1" ht="15" customHeight="1" hidden="1">
      <c r="A24" s="192"/>
      <c r="B24" s="834" t="s">
        <v>340</v>
      </c>
      <c r="C24" s="883">
        <v>226</v>
      </c>
      <c r="D24" s="2305"/>
      <c r="E24" s="772"/>
      <c r="F24" s="139"/>
      <c r="G24" s="963"/>
      <c r="H24" s="35"/>
      <c r="I24" s="9"/>
      <c r="J24" s="9"/>
      <c r="K24" s="9"/>
      <c r="L24" s="9"/>
      <c r="M24" s="9"/>
      <c r="N24" s="9"/>
      <c r="O24" s="9"/>
      <c r="P24" s="382"/>
      <c r="Q24" s="2342"/>
      <c r="R24" s="253"/>
      <c r="S24" s="782"/>
      <c r="T24" s="9"/>
      <c r="U24" s="9"/>
      <c r="V24" s="139"/>
    </row>
    <row r="25" spans="1:22" s="387" customFormat="1" ht="15" customHeight="1" hidden="1">
      <c r="A25" s="1089"/>
      <c r="B25" s="1467" t="s">
        <v>341</v>
      </c>
      <c r="C25" s="1468">
        <v>91</v>
      </c>
      <c r="D25" s="2306"/>
      <c r="E25" s="1844"/>
      <c r="F25" s="1094"/>
      <c r="G25" s="1469"/>
      <c r="H25" s="1092"/>
      <c r="I25" s="1093"/>
      <c r="J25" s="1093"/>
      <c r="K25" s="1093"/>
      <c r="L25" s="1093"/>
      <c r="M25" s="1093"/>
      <c r="N25" s="1093"/>
      <c r="O25" s="1093"/>
      <c r="P25" s="1513"/>
      <c r="Q25" s="2343"/>
      <c r="R25" s="2344"/>
      <c r="S25" s="1090"/>
      <c r="T25" s="1093"/>
      <c r="U25" s="1093"/>
      <c r="V25" s="1094"/>
    </row>
    <row r="26" spans="1:22" s="65" customFormat="1" ht="15" customHeight="1">
      <c r="A26" s="225"/>
      <c r="B26" s="1466" t="s">
        <v>1102</v>
      </c>
      <c r="C26" s="1057">
        <f aca="true" t="shared" si="17" ref="C26:N26">SUM(C27:C28)</f>
        <v>0</v>
      </c>
      <c r="D26" s="1681">
        <f t="shared" si="17"/>
        <v>0</v>
      </c>
      <c r="E26" s="1062">
        <f t="shared" si="17"/>
        <v>0</v>
      </c>
      <c r="F26" s="1061">
        <f t="shared" si="17"/>
        <v>0</v>
      </c>
      <c r="G26" s="1284">
        <f t="shared" si="17"/>
        <v>33000</v>
      </c>
      <c r="H26" s="1059">
        <f t="shared" si="17"/>
        <v>994.1580000000001</v>
      </c>
      <c r="I26" s="1060">
        <f t="shared" si="17"/>
        <v>33000</v>
      </c>
      <c r="J26" s="1060">
        <f t="shared" si="17"/>
        <v>994.1580000000001</v>
      </c>
      <c r="K26" s="1060">
        <f t="shared" si="17"/>
        <v>33000</v>
      </c>
      <c r="L26" s="1060">
        <f t="shared" si="17"/>
        <v>994.1580000000001</v>
      </c>
      <c r="M26" s="1060">
        <f t="shared" si="17"/>
        <v>0</v>
      </c>
      <c r="N26" s="1060">
        <f t="shared" si="17"/>
        <v>0</v>
      </c>
      <c r="O26" s="1060">
        <f aca="true" t="shared" si="18" ref="O26:V26">SUM(O27:O28)</f>
        <v>33000</v>
      </c>
      <c r="P26" s="1681">
        <f t="shared" si="18"/>
        <v>994.1580000000001</v>
      </c>
      <c r="Q26" s="2345">
        <f t="shared" si="18"/>
        <v>33000</v>
      </c>
      <c r="R26" s="2346">
        <f t="shared" si="18"/>
        <v>994.1580000000001</v>
      </c>
      <c r="S26" s="1057">
        <f t="shared" si="18"/>
        <v>33000</v>
      </c>
      <c r="T26" s="1060">
        <f t="shared" si="18"/>
        <v>994.1580000000001</v>
      </c>
      <c r="U26" s="1060">
        <f t="shared" si="18"/>
        <v>0</v>
      </c>
      <c r="V26" s="1061">
        <f t="shared" si="18"/>
        <v>0</v>
      </c>
    </row>
    <row r="27" spans="1:22" s="6" customFormat="1" ht="15" customHeight="1">
      <c r="A27" s="192"/>
      <c r="B27" s="834" t="s">
        <v>340</v>
      </c>
      <c r="C27" s="883"/>
      <c r="D27" s="2305"/>
      <c r="E27" s="772"/>
      <c r="F27" s="139"/>
      <c r="G27" s="963">
        <v>1650</v>
      </c>
      <c r="H27" s="35">
        <f>G27*30.126/1000</f>
        <v>49.7079</v>
      </c>
      <c r="I27" s="9">
        <v>1650</v>
      </c>
      <c r="J27" s="9">
        <f>I27*30.126/1000</f>
        <v>49.7079</v>
      </c>
      <c r="K27" s="9">
        <v>1650</v>
      </c>
      <c r="L27" s="9">
        <f>K27*30.126/1000</f>
        <v>49.7079</v>
      </c>
      <c r="M27" s="9"/>
      <c r="N27" s="9"/>
      <c r="O27" s="9">
        <v>1650</v>
      </c>
      <c r="P27" s="382">
        <f>O27*30.126/1000</f>
        <v>49.7079</v>
      </c>
      <c r="Q27" s="2342">
        <v>1650</v>
      </c>
      <c r="R27" s="253">
        <f>Q27*30.126/1000</f>
        <v>49.7079</v>
      </c>
      <c r="S27" s="782">
        <v>1650</v>
      </c>
      <c r="T27" s="9">
        <f>S27*30.126/1000</f>
        <v>49.7079</v>
      </c>
      <c r="U27" s="9"/>
      <c r="V27" s="139"/>
    </row>
    <row r="28" spans="1:22" s="387" customFormat="1" ht="15" customHeight="1">
      <c r="A28" s="1089"/>
      <c r="B28" s="1467" t="s">
        <v>341</v>
      </c>
      <c r="C28" s="1470"/>
      <c r="D28" s="2307"/>
      <c r="E28" s="1844"/>
      <c r="F28" s="1094"/>
      <c r="G28" s="1469">
        <v>31350</v>
      </c>
      <c r="H28" s="1092">
        <f>G28*30.126/1000</f>
        <v>944.4501000000001</v>
      </c>
      <c r="I28" s="1093">
        <v>31350</v>
      </c>
      <c r="J28" s="1093">
        <f>I28*30.126/1000</f>
        <v>944.4501000000001</v>
      </c>
      <c r="K28" s="1093">
        <v>31350</v>
      </c>
      <c r="L28" s="1093">
        <f>K28*30.126/1000</f>
        <v>944.4501000000001</v>
      </c>
      <c r="M28" s="1093"/>
      <c r="N28" s="1093"/>
      <c r="O28" s="1093">
        <v>31350</v>
      </c>
      <c r="P28" s="1513">
        <f>O28*30.126/1000</f>
        <v>944.4501000000001</v>
      </c>
      <c r="Q28" s="2343">
        <v>31350</v>
      </c>
      <c r="R28" s="2344">
        <f>Q28*30.126/1000</f>
        <v>944.4501000000001</v>
      </c>
      <c r="S28" s="1090">
        <v>31350</v>
      </c>
      <c r="T28" s="1093">
        <f>S28*30.126/1000</f>
        <v>944.4501000000001</v>
      </c>
      <c r="U28" s="1093"/>
      <c r="V28" s="1094"/>
    </row>
    <row r="29" spans="1:22" s="65" customFormat="1" ht="15" customHeight="1">
      <c r="A29" s="225"/>
      <c r="B29" s="1466" t="s">
        <v>1216</v>
      </c>
      <c r="C29" s="1057">
        <f>SUM(C30:C31)</f>
        <v>0</v>
      </c>
      <c r="D29" s="1681">
        <f aca="true" t="shared" si="19" ref="D29:N29">SUM(D30:D31)</f>
        <v>175</v>
      </c>
      <c r="E29" s="1062">
        <f t="shared" si="19"/>
        <v>10622</v>
      </c>
      <c r="F29" s="1061">
        <f t="shared" si="19"/>
        <v>319.998372</v>
      </c>
      <c r="G29" s="1284">
        <f t="shared" si="19"/>
        <v>4315</v>
      </c>
      <c r="H29" s="1059">
        <f t="shared" si="19"/>
        <v>129.99369000000002</v>
      </c>
      <c r="I29" s="1060">
        <f t="shared" si="19"/>
        <v>4315</v>
      </c>
      <c r="J29" s="1060">
        <f t="shared" si="19"/>
        <v>129.99369000000002</v>
      </c>
      <c r="K29" s="1060">
        <f t="shared" si="19"/>
        <v>0</v>
      </c>
      <c r="L29" s="1060">
        <f t="shared" si="19"/>
        <v>0</v>
      </c>
      <c r="M29" s="1060">
        <f t="shared" si="19"/>
        <v>0</v>
      </c>
      <c r="N29" s="1060">
        <f t="shared" si="19"/>
        <v>0</v>
      </c>
      <c r="O29" s="1060">
        <f aca="true" t="shared" si="20" ref="O29:V29">SUM(O30:O31)</f>
        <v>4315</v>
      </c>
      <c r="P29" s="1681">
        <f t="shared" si="20"/>
        <v>129.99369000000002</v>
      </c>
      <c r="Q29" s="2345">
        <f t="shared" si="20"/>
        <v>4315</v>
      </c>
      <c r="R29" s="2346">
        <f t="shared" si="20"/>
        <v>129.99369000000002</v>
      </c>
      <c r="S29" s="1057">
        <f t="shared" si="20"/>
        <v>0</v>
      </c>
      <c r="T29" s="1060">
        <f t="shared" si="20"/>
        <v>0</v>
      </c>
      <c r="U29" s="1060">
        <f t="shared" si="20"/>
        <v>0</v>
      </c>
      <c r="V29" s="1061">
        <f t="shared" si="20"/>
        <v>0</v>
      </c>
    </row>
    <row r="30" spans="1:22" s="6" customFormat="1" ht="15" customHeight="1">
      <c r="A30" s="192"/>
      <c r="B30" s="834" t="s">
        <v>340</v>
      </c>
      <c r="C30" s="883"/>
      <c r="D30" s="2305">
        <v>0</v>
      </c>
      <c r="E30" s="772">
        <v>0</v>
      </c>
      <c r="F30" s="139">
        <v>0</v>
      </c>
      <c r="G30" s="963">
        <v>0</v>
      </c>
      <c r="H30" s="35">
        <v>0</v>
      </c>
      <c r="I30" s="9">
        <v>0</v>
      </c>
      <c r="J30" s="9">
        <v>0</v>
      </c>
      <c r="K30" s="9"/>
      <c r="L30" s="9"/>
      <c r="M30" s="9"/>
      <c r="N30" s="9"/>
      <c r="O30" s="9">
        <v>0</v>
      </c>
      <c r="P30" s="382">
        <v>0</v>
      </c>
      <c r="Q30" s="2342">
        <v>0</v>
      </c>
      <c r="R30" s="253">
        <v>0</v>
      </c>
      <c r="S30" s="782"/>
      <c r="T30" s="9"/>
      <c r="U30" s="9"/>
      <c r="V30" s="139"/>
    </row>
    <row r="31" spans="1:22" s="387" customFormat="1" ht="15" customHeight="1">
      <c r="A31" s="1089"/>
      <c r="B31" s="1467" t="s">
        <v>341</v>
      </c>
      <c r="C31" s="1470"/>
      <c r="D31" s="2307">
        <v>175</v>
      </c>
      <c r="E31" s="1844">
        <v>10622</v>
      </c>
      <c r="F31" s="1094">
        <f>(E31*30.126)/1000</f>
        <v>319.998372</v>
      </c>
      <c r="G31" s="1469">
        <v>4315</v>
      </c>
      <c r="H31" s="1092">
        <f>G31*30.126/1000</f>
        <v>129.99369000000002</v>
      </c>
      <c r="I31" s="1093">
        <v>4315</v>
      </c>
      <c r="J31" s="1093">
        <f>I31*30.126/1000</f>
        <v>129.99369000000002</v>
      </c>
      <c r="K31" s="1093"/>
      <c r="L31" s="1093"/>
      <c r="M31" s="1093"/>
      <c r="N31" s="1093"/>
      <c r="O31" s="1093">
        <v>4315</v>
      </c>
      <c r="P31" s="1513">
        <f>O31*30.126/1000</f>
        <v>129.99369000000002</v>
      </c>
      <c r="Q31" s="2343">
        <v>4315</v>
      </c>
      <c r="R31" s="2344">
        <f>Q31*30.126/1000</f>
        <v>129.99369000000002</v>
      </c>
      <c r="S31" s="1090"/>
      <c r="T31" s="1093"/>
      <c r="U31" s="1093"/>
      <c r="V31" s="1094"/>
    </row>
    <row r="32" spans="1:22" s="65" customFormat="1" ht="15" customHeight="1">
      <c r="A32" s="202"/>
      <c r="B32" s="1471" t="s">
        <v>1219</v>
      </c>
      <c r="C32" s="970">
        <f>SUM(C33:C34)</f>
        <v>0</v>
      </c>
      <c r="D32" s="1514">
        <f>SUM(D33:D34)</f>
        <v>0</v>
      </c>
      <c r="E32" s="1843">
        <f>SUM(E33:E34)</f>
        <v>40000</v>
      </c>
      <c r="F32" s="965">
        <f aca="true" t="shared" si="21" ref="F32:N32">SUM(F33:F34)</f>
        <v>1205.04</v>
      </c>
      <c r="G32" s="1141">
        <f t="shared" si="21"/>
        <v>23966</v>
      </c>
      <c r="H32" s="1096">
        <f t="shared" si="21"/>
        <v>721.999716</v>
      </c>
      <c r="I32" s="1097">
        <f t="shared" si="21"/>
        <v>23966</v>
      </c>
      <c r="J32" s="1097">
        <f t="shared" si="21"/>
        <v>721.999716</v>
      </c>
      <c r="K32" s="1097">
        <f t="shared" si="21"/>
        <v>23933</v>
      </c>
      <c r="L32" s="1097">
        <f t="shared" si="21"/>
        <v>721.0055580000001</v>
      </c>
      <c r="M32" s="1097">
        <f t="shared" si="21"/>
        <v>0</v>
      </c>
      <c r="N32" s="1097">
        <f t="shared" si="21"/>
        <v>0</v>
      </c>
      <c r="O32" s="1097">
        <f aca="true" t="shared" si="22" ref="O32:V32">SUM(O33:O34)</f>
        <v>23966</v>
      </c>
      <c r="P32" s="1514">
        <f t="shared" si="22"/>
        <v>721.999716</v>
      </c>
      <c r="Q32" s="2340">
        <f t="shared" si="22"/>
        <v>23966</v>
      </c>
      <c r="R32" s="2341">
        <f t="shared" si="22"/>
        <v>721.999716</v>
      </c>
      <c r="S32" s="970">
        <f t="shared" si="22"/>
        <v>23933</v>
      </c>
      <c r="T32" s="1097">
        <f t="shared" si="22"/>
        <v>721.0055580000001</v>
      </c>
      <c r="U32" s="1097">
        <f t="shared" si="22"/>
        <v>0</v>
      </c>
      <c r="V32" s="965">
        <f t="shared" si="22"/>
        <v>0</v>
      </c>
    </row>
    <row r="33" spans="1:22" s="6" customFormat="1" ht="15" customHeight="1">
      <c r="A33" s="192"/>
      <c r="B33" s="834" t="s">
        <v>340</v>
      </c>
      <c r="C33" s="887"/>
      <c r="D33" s="2308"/>
      <c r="E33" s="851">
        <v>40000</v>
      </c>
      <c r="F33" s="139">
        <f>(E33*30.126)/1000</f>
        <v>1205.04</v>
      </c>
      <c r="G33" s="1472">
        <v>13966</v>
      </c>
      <c r="H33" s="40">
        <f>G33*30.126/1000</f>
        <v>420.739716</v>
      </c>
      <c r="I33" s="33">
        <v>13966</v>
      </c>
      <c r="J33" s="33">
        <f>I33*30.126/1000</f>
        <v>420.739716</v>
      </c>
      <c r="K33" s="33">
        <v>23933</v>
      </c>
      <c r="L33" s="33">
        <f>K33*30.126/1000</f>
        <v>721.0055580000001</v>
      </c>
      <c r="M33" s="33"/>
      <c r="N33" s="33"/>
      <c r="O33" s="33">
        <v>13966</v>
      </c>
      <c r="P33" s="1560">
        <f>O33*30.126/1000</f>
        <v>420.739716</v>
      </c>
      <c r="Q33" s="2347">
        <v>13966</v>
      </c>
      <c r="R33" s="1449">
        <f>Q33*30.126/1000</f>
        <v>420.739716</v>
      </c>
      <c r="S33" s="1531">
        <v>23933</v>
      </c>
      <c r="T33" s="33">
        <f>S33*30.126/1000</f>
        <v>721.0055580000001</v>
      </c>
      <c r="U33" s="33"/>
      <c r="V33" s="308"/>
    </row>
    <row r="34" spans="1:22" s="387" customFormat="1" ht="15" customHeight="1">
      <c r="A34" s="1098"/>
      <c r="B34" s="1467" t="s">
        <v>341</v>
      </c>
      <c r="C34" s="1468"/>
      <c r="D34" s="2306"/>
      <c r="E34" s="1844">
        <v>0</v>
      </c>
      <c r="F34" s="1094">
        <v>0</v>
      </c>
      <c r="G34" s="1469">
        <v>10000</v>
      </c>
      <c r="H34" s="1092">
        <f>G34*30.126/1000</f>
        <v>301.26</v>
      </c>
      <c r="I34" s="1093">
        <v>10000</v>
      </c>
      <c r="J34" s="1093">
        <f>I34*30.126/1000</f>
        <v>301.26</v>
      </c>
      <c r="K34" s="1093">
        <v>0</v>
      </c>
      <c r="L34" s="1093">
        <v>0</v>
      </c>
      <c r="M34" s="1093"/>
      <c r="N34" s="1093"/>
      <c r="O34" s="1093">
        <v>10000</v>
      </c>
      <c r="P34" s="1513">
        <f>O34*30.126/1000</f>
        <v>301.26</v>
      </c>
      <c r="Q34" s="2343">
        <v>10000</v>
      </c>
      <c r="R34" s="2344">
        <f>Q34*30.126/1000</f>
        <v>301.26</v>
      </c>
      <c r="S34" s="1090">
        <v>0</v>
      </c>
      <c r="T34" s="1093">
        <v>0</v>
      </c>
      <c r="U34" s="1093"/>
      <c r="V34" s="1094"/>
    </row>
    <row r="35" spans="1:22" s="65" customFormat="1" ht="15" customHeight="1">
      <c r="A35" s="202"/>
      <c r="B35" s="1471" t="s">
        <v>1101</v>
      </c>
      <c r="C35" s="1473">
        <f>SUM(C36:C37)</f>
        <v>0</v>
      </c>
      <c r="D35" s="2309">
        <f>SUM(D36:D37)</f>
        <v>0</v>
      </c>
      <c r="E35" s="1845">
        <v>45000</v>
      </c>
      <c r="F35" s="966">
        <f aca="true" t="shared" si="23" ref="F35:N35">SUM(F36:F37)</f>
        <v>1355.67</v>
      </c>
      <c r="G35" s="1474">
        <f t="shared" si="23"/>
        <v>56994</v>
      </c>
      <c r="H35" s="1475">
        <f t="shared" si="23"/>
        <v>1717.001244</v>
      </c>
      <c r="I35" s="1476">
        <f t="shared" si="23"/>
        <v>56994</v>
      </c>
      <c r="J35" s="1476">
        <f t="shared" si="23"/>
        <v>1717.001244</v>
      </c>
      <c r="K35" s="1476">
        <f t="shared" si="23"/>
        <v>0</v>
      </c>
      <c r="L35" s="1476">
        <f t="shared" si="23"/>
        <v>0</v>
      </c>
      <c r="M35" s="1476">
        <f t="shared" si="23"/>
        <v>0</v>
      </c>
      <c r="N35" s="1476">
        <f t="shared" si="23"/>
        <v>0</v>
      </c>
      <c r="O35" s="1476">
        <f aca="true" t="shared" si="24" ref="O35:V35">SUM(O36:O37)</f>
        <v>56994</v>
      </c>
      <c r="P35" s="2309">
        <f t="shared" si="24"/>
        <v>1717.001244</v>
      </c>
      <c r="Q35" s="2348">
        <f t="shared" si="24"/>
        <v>56994</v>
      </c>
      <c r="R35" s="2349">
        <f t="shared" si="24"/>
        <v>1717.001244</v>
      </c>
      <c r="S35" s="1473">
        <f t="shared" si="24"/>
        <v>0</v>
      </c>
      <c r="T35" s="1476">
        <f t="shared" si="24"/>
        <v>0</v>
      </c>
      <c r="U35" s="1476">
        <f t="shared" si="24"/>
        <v>0</v>
      </c>
      <c r="V35" s="966">
        <f t="shared" si="24"/>
        <v>0</v>
      </c>
    </row>
    <row r="36" spans="1:22" s="6" customFormat="1" ht="15" customHeight="1">
      <c r="A36" s="192"/>
      <c r="B36" s="834" t="s">
        <v>340</v>
      </c>
      <c r="C36" s="883"/>
      <c r="D36" s="2305"/>
      <c r="E36" s="772">
        <v>45000</v>
      </c>
      <c r="F36" s="139">
        <f>(E36*30.126)/1000</f>
        <v>1355.67</v>
      </c>
      <c r="G36" s="963">
        <v>36994</v>
      </c>
      <c r="H36" s="35">
        <f>G36*30.126/1000</f>
        <v>1114.481244</v>
      </c>
      <c r="I36" s="9">
        <v>36994</v>
      </c>
      <c r="J36" s="9">
        <f>I36*30.126/1000</f>
        <v>1114.481244</v>
      </c>
      <c r="K36" s="9"/>
      <c r="L36" s="9"/>
      <c r="M36" s="9"/>
      <c r="N36" s="9"/>
      <c r="O36" s="9">
        <v>36994</v>
      </c>
      <c r="P36" s="382">
        <f>O36*30.126/1000</f>
        <v>1114.481244</v>
      </c>
      <c r="Q36" s="2342">
        <v>36994</v>
      </c>
      <c r="R36" s="253">
        <f>Q36*30.126/1000</f>
        <v>1114.481244</v>
      </c>
      <c r="S36" s="782"/>
      <c r="T36" s="9"/>
      <c r="U36" s="9"/>
      <c r="V36" s="139"/>
    </row>
    <row r="37" spans="1:22" s="387" customFormat="1" ht="15" customHeight="1">
      <c r="A37" s="1098"/>
      <c r="B37" s="1467" t="s">
        <v>341</v>
      </c>
      <c r="C37" s="1468"/>
      <c r="D37" s="2306"/>
      <c r="E37" s="1844">
        <v>0</v>
      </c>
      <c r="F37" s="1094">
        <v>0</v>
      </c>
      <c r="G37" s="1469">
        <v>20000</v>
      </c>
      <c r="H37" s="1092">
        <f>G37*30.126/1000</f>
        <v>602.52</v>
      </c>
      <c r="I37" s="1093">
        <v>20000</v>
      </c>
      <c r="J37" s="1093">
        <f>I37*30.126/1000</f>
        <v>602.52</v>
      </c>
      <c r="K37" s="1093"/>
      <c r="L37" s="1093"/>
      <c r="M37" s="1093"/>
      <c r="N37" s="1093"/>
      <c r="O37" s="1093">
        <v>20000</v>
      </c>
      <c r="P37" s="1513">
        <f>O37*30.126/1000</f>
        <v>602.52</v>
      </c>
      <c r="Q37" s="2343">
        <v>20000</v>
      </c>
      <c r="R37" s="2344">
        <f>Q37*30.126/1000</f>
        <v>602.52</v>
      </c>
      <c r="S37" s="1090"/>
      <c r="T37" s="1093"/>
      <c r="U37" s="1093"/>
      <c r="V37" s="1094"/>
    </row>
    <row r="38" spans="1:22" s="65" customFormat="1" ht="15" customHeight="1">
      <c r="A38" s="202"/>
      <c r="B38" s="1471" t="s">
        <v>1147</v>
      </c>
      <c r="C38" s="1473">
        <f aca="true" t="shared" si="25" ref="C38:N38">SUM(C39:C40)</f>
        <v>0</v>
      </c>
      <c r="D38" s="2309">
        <f t="shared" si="25"/>
        <v>0</v>
      </c>
      <c r="E38" s="1845">
        <f t="shared" si="25"/>
        <v>0</v>
      </c>
      <c r="F38" s="966">
        <f t="shared" si="25"/>
        <v>0</v>
      </c>
      <c r="G38" s="1474">
        <f t="shared" si="25"/>
        <v>0</v>
      </c>
      <c r="H38" s="1475">
        <f t="shared" si="25"/>
        <v>0</v>
      </c>
      <c r="I38" s="1476">
        <f t="shared" si="25"/>
        <v>0</v>
      </c>
      <c r="J38" s="1476">
        <f t="shared" si="25"/>
        <v>0</v>
      </c>
      <c r="K38" s="1476">
        <f t="shared" si="25"/>
        <v>20000</v>
      </c>
      <c r="L38" s="1476">
        <f t="shared" si="25"/>
        <v>602.52</v>
      </c>
      <c r="M38" s="1476">
        <f t="shared" si="25"/>
        <v>20000</v>
      </c>
      <c r="N38" s="1476">
        <f t="shared" si="25"/>
        <v>602.52</v>
      </c>
      <c r="O38" s="1476">
        <f aca="true" t="shared" si="26" ref="O38:V38">SUM(O39:O40)</f>
        <v>0</v>
      </c>
      <c r="P38" s="2309">
        <f t="shared" si="26"/>
        <v>0</v>
      </c>
      <c r="Q38" s="2348">
        <f t="shared" si="26"/>
        <v>0</v>
      </c>
      <c r="R38" s="2349">
        <f t="shared" si="26"/>
        <v>0</v>
      </c>
      <c r="S38" s="1473">
        <f t="shared" si="26"/>
        <v>20000</v>
      </c>
      <c r="T38" s="1476">
        <f t="shared" si="26"/>
        <v>602.52</v>
      </c>
      <c r="U38" s="1476">
        <f t="shared" si="26"/>
        <v>20000</v>
      </c>
      <c r="V38" s="966">
        <f t="shared" si="26"/>
        <v>602.52</v>
      </c>
    </row>
    <row r="39" spans="1:22" s="6" customFormat="1" ht="15" customHeight="1">
      <c r="A39" s="192"/>
      <c r="B39" s="834" t="s">
        <v>340</v>
      </c>
      <c r="C39" s="883"/>
      <c r="D39" s="2305"/>
      <c r="E39" s="772"/>
      <c r="F39" s="139"/>
      <c r="G39" s="963"/>
      <c r="H39" s="35"/>
      <c r="I39" s="9"/>
      <c r="J39" s="9"/>
      <c r="K39" s="9">
        <v>20000</v>
      </c>
      <c r="L39" s="9">
        <f>K39*30.126/1000</f>
        <v>602.52</v>
      </c>
      <c r="M39" s="9">
        <v>5000</v>
      </c>
      <c r="N39" s="9">
        <f>M39*30.126/1000</f>
        <v>150.63</v>
      </c>
      <c r="O39" s="9"/>
      <c r="P39" s="382"/>
      <c r="Q39" s="2342"/>
      <c r="R39" s="253"/>
      <c r="S39" s="782">
        <v>20000</v>
      </c>
      <c r="T39" s="9">
        <f>S39*30.126/1000</f>
        <v>602.52</v>
      </c>
      <c r="U39" s="9">
        <v>5000</v>
      </c>
      <c r="V39" s="139">
        <f>U39*30.126/1000</f>
        <v>150.63</v>
      </c>
    </row>
    <row r="40" spans="1:22" s="387" customFormat="1" ht="15" customHeight="1">
      <c r="A40" s="1098"/>
      <c r="B40" s="1467" t="s">
        <v>341</v>
      </c>
      <c r="C40" s="1468"/>
      <c r="D40" s="2306"/>
      <c r="E40" s="1844"/>
      <c r="F40" s="1094"/>
      <c r="G40" s="1469"/>
      <c r="H40" s="1092"/>
      <c r="I40" s="1093"/>
      <c r="J40" s="1093"/>
      <c r="K40" s="1093">
        <v>0</v>
      </c>
      <c r="L40" s="1093">
        <v>0</v>
      </c>
      <c r="M40" s="1093">
        <v>15000</v>
      </c>
      <c r="N40" s="1093">
        <f>M40*30.126/1000</f>
        <v>451.89</v>
      </c>
      <c r="O40" s="1093"/>
      <c r="P40" s="1513"/>
      <c r="Q40" s="2343"/>
      <c r="R40" s="2344"/>
      <c r="S40" s="1090">
        <v>0</v>
      </c>
      <c r="T40" s="1093">
        <v>0</v>
      </c>
      <c r="U40" s="1093">
        <v>15000</v>
      </c>
      <c r="V40" s="1094">
        <f>U40*30.126/1000</f>
        <v>451.89</v>
      </c>
    </row>
    <row r="41" spans="1:22" s="65" customFormat="1" ht="15" customHeight="1">
      <c r="A41" s="1477"/>
      <c r="B41" s="1466" t="s">
        <v>1097</v>
      </c>
      <c r="C41" s="1057">
        <v>0</v>
      </c>
      <c r="D41" s="1681">
        <v>0</v>
      </c>
      <c r="E41" s="1843">
        <f>SUM(E42:E43)</f>
        <v>13278</v>
      </c>
      <c r="F41" s="965">
        <f aca="true" t="shared" si="27" ref="F41:N41">SUM(F42:F43)</f>
        <v>400.01302799999996</v>
      </c>
      <c r="G41" s="1141">
        <f t="shared" si="27"/>
        <v>22300</v>
      </c>
      <c r="H41" s="1096">
        <f t="shared" si="27"/>
        <v>671.8098</v>
      </c>
      <c r="I41" s="1097">
        <f t="shared" si="27"/>
        <v>22300</v>
      </c>
      <c r="J41" s="1097">
        <f t="shared" si="27"/>
        <v>671.8098</v>
      </c>
      <c r="K41" s="1097">
        <f t="shared" si="27"/>
        <v>20000</v>
      </c>
      <c r="L41" s="1097">
        <f t="shared" si="27"/>
        <v>602.52</v>
      </c>
      <c r="M41" s="1097">
        <f t="shared" si="27"/>
        <v>20000</v>
      </c>
      <c r="N41" s="1097">
        <f t="shared" si="27"/>
        <v>602.52</v>
      </c>
      <c r="O41" s="1097">
        <f aca="true" t="shared" si="28" ref="O41:V41">SUM(O42:O43)</f>
        <v>22300</v>
      </c>
      <c r="P41" s="1514">
        <f t="shared" si="28"/>
        <v>671.8098</v>
      </c>
      <c r="Q41" s="2340">
        <f t="shared" si="28"/>
        <v>22300</v>
      </c>
      <c r="R41" s="2341">
        <f t="shared" si="28"/>
        <v>671.8098</v>
      </c>
      <c r="S41" s="970">
        <f t="shared" si="28"/>
        <v>20000</v>
      </c>
      <c r="T41" s="1097">
        <f t="shared" si="28"/>
        <v>602.52</v>
      </c>
      <c r="U41" s="1097">
        <f t="shared" si="28"/>
        <v>20000</v>
      </c>
      <c r="V41" s="965">
        <f t="shared" si="28"/>
        <v>602.52</v>
      </c>
    </row>
    <row r="42" spans="1:22" s="6" customFormat="1" ht="15" customHeight="1">
      <c r="A42" s="190"/>
      <c r="B42" s="834" t="s">
        <v>52</v>
      </c>
      <c r="C42" s="883"/>
      <c r="D42" s="2305"/>
      <c r="E42" s="772">
        <v>13278</v>
      </c>
      <c r="F42" s="139">
        <f>E42*30.126/1000</f>
        <v>400.01302799999996</v>
      </c>
      <c r="G42" s="963">
        <v>22300</v>
      </c>
      <c r="H42" s="35">
        <f>G42*30.126/1000</f>
        <v>671.8098</v>
      </c>
      <c r="I42" s="9">
        <v>22300</v>
      </c>
      <c r="J42" s="9">
        <f>I42*30.126/1000</f>
        <v>671.8098</v>
      </c>
      <c r="K42" s="9">
        <v>20000</v>
      </c>
      <c r="L42" s="9">
        <f>K42*30.126/1000</f>
        <v>602.52</v>
      </c>
      <c r="M42" s="9">
        <v>20000</v>
      </c>
      <c r="N42" s="9">
        <f>M42*30.126/1000</f>
        <v>602.52</v>
      </c>
      <c r="O42" s="9">
        <v>22300</v>
      </c>
      <c r="P42" s="382">
        <f>O42*30.126/1000</f>
        <v>671.8098</v>
      </c>
      <c r="Q42" s="2342">
        <v>22300</v>
      </c>
      <c r="R42" s="253">
        <f>Q42*30.126/1000</f>
        <v>671.8098</v>
      </c>
      <c r="S42" s="782">
        <v>20000</v>
      </c>
      <c r="T42" s="9">
        <f>S42*30.126/1000</f>
        <v>602.52</v>
      </c>
      <c r="U42" s="9">
        <v>20000</v>
      </c>
      <c r="V42" s="139">
        <f>U42*30.126/1000</f>
        <v>602.52</v>
      </c>
    </row>
    <row r="43" spans="1:22" s="387" customFormat="1" ht="15" customHeight="1">
      <c r="A43" s="1847"/>
      <c r="B43" s="1848" t="s">
        <v>341</v>
      </c>
      <c r="C43" s="1849"/>
      <c r="D43" s="2310"/>
      <c r="E43" s="1855">
        <v>0</v>
      </c>
      <c r="F43" s="2316">
        <v>0</v>
      </c>
      <c r="G43" s="1850">
        <v>0</v>
      </c>
      <c r="H43" s="1851">
        <v>0</v>
      </c>
      <c r="I43" s="1852">
        <v>0</v>
      </c>
      <c r="J43" s="1853">
        <v>0</v>
      </c>
      <c r="K43" s="1852">
        <v>0</v>
      </c>
      <c r="L43" s="1853">
        <v>0</v>
      </c>
      <c r="M43" s="1852">
        <v>0</v>
      </c>
      <c r="N43" s="1852">
        <v>0</v>
      </c>
      <c r="O43" s="1852">
        <v>0</v>
      </c>
      <c r="P43" s="2325">
        <v>0</v>
      </c>
      <c r="Q43" s="2350">
        <v>0</v>
      </c>
      <c r="R43" s="2351">
        <v>0</v>
      </c>
      <c r="S43" s="2327">
        <v>0</v>
      </c>
      <c r="T43" s="1853">
        <v>0</v>
      </c>
      <c r="U43" s="1852">
        <v>0</v>
      </c>
      <c r="V43" s="1854">
        <v>0</v>
      </c>
    </row>
    <row r="44" spans="1:22" s="49" customFormat="1" ht="15" customHeight="1">
      <c r="A44" s="1038"/>
      <c r="B44" s="1039" t="s">
        <v>967</v>
      </c>
      <c r="C44" s="1040">
        <f>C47+C50+C53</f>
        <v>35</v>
      </c>
      <c r="D44" s="1510">
        <f aca="true" t="shared" si="29" ref="D44:N44">D47+D50+D53</f>
        <v>1898</v>
      </c>
      <c r="E44" s="1045">
        <f t="shared" si="29"/>
        <v>937729</v>
      </c>
      <c r="F44" s="1044">
        <f t="shared" si="29"/>
        <v>28250.023854000003</v>
      </c>
      <c r="G44" s="1083">
        <f t="shared" si="29"/>
        <v>5316785</v>
      </c>
      <c r="H44" s="1042">
        <f t="shared" si="29"/>
        <v>160173.46490999998</v>
      </c>
      <c r="I44" s="1043">
        <f t="shared" si="29"/>
        <v>5316785</v>
      </c>
      <c r="J44" s="1043">
        <f t="shared" si="29"/>
        <v>160173.46490999998</v>
      </c>
      <c r="K44" s="1043">
        <f t="shared" si="29"/>
        <v>3844360</v>
      </c>
      <c r="L44" s="1043">
        <f t="shared" si="29"/>
        <v>115815.18936000002</v>
      </c>
      <c r="M44" s="1043">
        <f t="shared" si="29"/>
        <v>100000</v>
      </c>
      <c r="N44" s="1043">
        <f t="shared" si="29"/>
        <v>3012.6</v>
      </c>
      <c r="O44" s="1043">
        <f aca="true" t="shared" si="30" ref="O44:P46">O47+O50+O53</f>
        <v>5316785</v>
      </c>
      <c r="P44" s="1510">
        <f t="shared" si="30"/>
        <v>160173.46490999998</v>
      </c>
      <c r="Q44" s="2336">
        <f aca="true" t="shared" si="31" ref="Q44:R46">Q47+Q50+Q53</f>
        <v>5316785</v>
      </c>
      <c r="R44" s="2337">
        <f t="shared" si="31"/>
        <v>160173.46490999998</v>
      </c>
      <c r="S44" s="1040">
        <f aca="true" t="shared" si="32" ref="S44:V46">S47+S50+S53</f>
        <v>3844360</v>
      </c>
      <c r="T44" s="1043">
        <f t="shared" si="32"/>
        <v>115815.18936000002</v>
      </c>
      <c r="U44" s="1043">
        <f t="shared" si="32"/>
        <v>100000</v>
      </c>
      <c r="V44" s="1044">
        <f t="shared" si="32"/>
        <v>3012.6</v>
      </c>
    </row>
    <row r="45" spans="1:22" s="30" customFormat="1" ht="15" customHeight="1">
      <c r="A45" s="1020"/>
      <c r="B45" s="1021" t="s">
        <v>7</v>
      </c>
      <c r="C45" s="1022">
        <f>C48+C51+C54</f>
        <v>0</v>
      </c>
      <c r="D45" s="1508">
        <f aca="true" t="shared" si="33" ref="D45:N45">D48+D51+D54</f>
        <v>0</v>
      </c>
      <c r="E45" s="1027">
        <f t="shared" si="33"/>
        <v>75000</v>
      </c>
      <c r="F45" s="1026">
        <f t="shared" si="33"/>
        <v>2259.45</v>
      </c>
      <c r="G45" s="369">
        <f t="shared" si="33"/>
        <v>229660</v>
      </c>
      <c r="H45" s="1024">
        <f t="shared" si="33"/>
        <v>6918.737160000001</v>
      </c>
      <c r="I45" s="1025">
        <f t="shared" si="33"/>
        <v>229660</v>
      </c>
      <c r="J45" s="1025">
        <f t="shared" si="33"/>
        <v>6918.737160000001</v>
      </c>
      <c r="K45" s="1025">
        <f t="shared" si="33"/>
        <v>210068</v>
      </c>
      <c r="L45" s="1025">
        <f t="shared" si="33"/>
        <v>6328.508568</v>
      </c>
      <c r="M45" s="1025">
        <f t="shared" si="33"/>
        <v>100000</v>
      </c>
      <c r="N45" s="1025">
        <f t="shared" si="33"/>
        <v>3012.6</v>
      </c>
      <c r="O45" s="1025">
        <f t="shared" si="30"/>
        <v>229660</v>
      </c>
      <c r="P45" s="1508">
        <f t="shared" si="30"/>
        <v>6918.737160000001</v>
      </c>
      <c r="Q45" s="2332">
        <f t="shared" si="31"/>
        <v>229660</v>
      </c>
      <c r="R45" s="2333">
        <f t="shared" si="31"/>
        <v>6918.737160000001</v>
      </c>
      <c r="S45" s="1022">
        <f t="shared" si="32"/>
        <v>210068</v>
      </c>
      <c r="T45" s="1025">
        <f t="shared" si="32"/>
        <v>6328.508568</v>
      </c>
      <c r="U45" s="1025">
        <f t="shared" si="32"/>
        <v>100000</v>
      </c>
      <c r="V45" s="1026">
        <f t="shared" si="32"/>
        <v>3012.6</v>
      </c>
    </row>
    <row r="46" spans="1:22" s="49" customFormat="1" ht="15" customHeight="1">
      <c r="A46" s="1047"/>
      <c r="B46" s="1048" t="s">
        <v>8</v>
      </c>
      <c r="C46" s="1049">
        <f>C49+C52+C55</f>
        <v>0</v>
      </c>
      <c r="D46" s="1511">
        <f aca="true" t="shared" si="34" ref="D46:N46">D49+D52+D55</f>
        <v>0</v>
      </c>
      <c r="E46" s="1054">
        <f t="shared" si="34"/>
        <v>862729</v>
      </c>
      <c r="F46" s="1053">
        <f t="shared" si="34"/>
        <v>25990.573854000002</v>
      </c>
      <c r="G46" s="1084">
        <f t="shared" si="34"/>
        <v>5087125</v>
      </c>
      <c r="H46" s="1051">
        <f t="shared" si="34"/>
        <v>153254.72775</v>
      </c>
      <c r="I46" s="1052">
        <f t="shared" si="34"/>
        <v>5087125</v>
      </c>
      <c r="J46" s="1052">
        <f t="shared" si="34"/>
        <v>153254.72775</v>
      </c>
      <c r="K46" s="1052">
        <f t="shared" si="34"/>
        <v>3634292</v>
      </c>
      <c r="L46" s="1052">
        <f t="shared" si="34"/>
        <v>109486.68079200001</v>
      </c>
      <c r="M46" s="1052">
        <f t="shared" si="34"/>
        <v>0</v>
      </c>
      <c r="N46" s="1052">
        <f t="shared" si="34"/>
        <v>0</v>
      </c>
      <c r="O46" s="1052">
        <f t="shared" si="30"/>
        <v>5087125</v>
      </c>
      <c r="P46" s="1511">
        <f t="shared" si="30"/>
        <v>153254.72775</v>
      </c>
      <c r="Q46" s="2338">
        <f t="shared" si="31"/>
        <v>5087125</v>
      </c>
      <c r="R46" s="2339">
        <f t="shared" si="31"/>
        <v>153254.72775</v>
      </c>
      <c r="S46" s="1049">
        <f t="shared" si="32"/>
        <v>3634292</v>
      </c>
      <c r="T46" s="1052">
        <f t="shared" si="32"/>
        <v>109486.68079200001</v>
      </c>
      <c r="U46" s="1052">
        <f t="shared" si="32"/>
        <v>0</v>
      </c>
      <c r="V46" s="1053">
        <f t="shared" si="32"/>
        <v>0</v>
      </c>
    </row>
    <row r="47" spans="1:22" s="24" customFormat="1" ht="15" customHeight="1" hidden="1">
      <c r="A47" s="1103"/>
      <c r="B47" s="1480" t="s">
        <v>1102</v>
      </c>
      <c r="C47" s="1481">
        <f>SUM(C48:C49)</f>
        <v>0</v>
      </c>
      <c r="D47" s="2311">
        <f aca="true" t="shared" si="35" ref="D47:N47">SUM(D48:D49)</f>
        <v>0</v>
      </c>
      <c r="E47" s="1846">
        <f t="shared" si="35"/>
        <v>0</v>
      </c>
      <c r="F47" s="1485">
        <f t="shared" si="35"/>
        <v>0</v>
      </c>
      <c r="G47" s="1482">
        <f t="shared" si="35"/>
        <v>0</v>
      </c>
      <c r="H47" s="1483">
        <f t="shared" si="35"/>
        <v>0</v>
      </c>
      <c r="I47" s="1484">
        <f t="shared" si="35"/>
        <v>0</v>
      </c>
      <c r="J47" s="1484">
        <f t="shared" si="35"/>
        <v>0</v>
      </c>
      <c r="K47" s="1484">
        <f t="shared" si="35"/>
        <v>0</v>
      </c>
      <c r="L47" s="1484">
        <f t="shared" si="35"/>
        <v>0</v>
      </c>
      <c r="M47" s="1484">
        <f t="shared" si="35"/>
        <v>0</v>
      </c>
      <c r="N47" s="1484">
        <f t="shared" si="35"/>
        <v>0</v>
      </c>
      <c r="O47" s="1484">
        <f aca="true" t="shared" si="36" ref="O47:V47">SUM(O48:O49)</f>
        <v>0</v>
      </c>
      <c r="P47" s="2311">
        <f t="shared" si="36"/>
        <v>0</v>
      </c>
      <c r="Q47" s="2352">
        <f t="shared" si="36"/>
        <v>0</v>
      </c>
      <c r="R47" s="2353">
        <f t="shared" si="36"/>
        <v>0</v>
      </c>
      <c r="S47" s="1481">
        <f t="shared" si="36"/>
        <v>0</v>
      </c>
      <c r="T47" s="1484">
        <f t="shared" si="36"/>
        <v>0</v>
      </c>
      <c r="U47" s="1484">
        <f t="shared" si="36"/>
        <v>0</v>
      </c>
      <c r="V47" s="1485">
        <f t="shared" si="36"/>
        <v>0</v>
      </c>
    </row>
    <row r="48" spans="1:22" s="6" customFormat="1" ht="15" customHeight="1" hidden="1">
      <c r="A48" s="1486"/>
      <c r="B48" s="834" t="s">
        <v>340</v>
      </c>
      <c r="C48" s="883"/>
      <c r="D48" s="2305"/>
      <c r="E48" s="772"/>
      <c r="F48" s="139"/>
      <c r="G48" s="963"/>
      <c r="H48" s="35"/>
      <c r="I48" s="9"/>
      <c r="J48" s="9"/>
      <c r="K48" s="9"/>
      <c r="L48" s="9"/>
      <c r="M48" s="9"/>
      <c r="N48" s="9"/>
      <c r="O48" s="9"/>
      <c r="P48" s="382"/>
      <c r="Q48" s="2342"/>
      <c r="R48" s="253"/>
      <c r="S48" s="782"/>
      <c r="T48" s="9"/>
      <c r="U48" s="9"/>
      <c r="V48" s="139"/>
    </row>
    <row r="49" spans="1:22" s="387" customFormat="1" ht="15" customHeight="1" hidden="1">
      <c r="A49" s="1089"/>
      <c r="B49" s="1467" t="s">
        <v>341</v>
      </c>
      <c r="C49" s="1468"/>
      <c r="D49" s="2306"/>
      <c r="E49" s="1844"/>
      <c r="F49" s="1094"/>
      <c r="G49" s="1469"/>
      <c r="H49" s="1092"/>
      <c r="I49" s="1093"/>
      <c r="J49" s="1093"/>
      <c r="K49" s="1093"/>
      <c r="L49" s="1093"/>
      <c r="M49" s="1093"/>
      <c r="N49" s="1093"/>
      <c r="O49" s="1093"/>
      <c r="P49" s="1513"/>
      <c r="Q49" s="2343"/>
      <c r="R49" s="2344"/>
      <c r="S49" s="1090"/>
      <c r="T49" s="1093"/>
      <c r="U49" s="1093"/>
      <c r="V49" s="1094"/>
    </row>
    <row r="50" spans="1:22" s="65" customFormat="1" ht="15" customHeight="1" hidden="1">
      <c r="A50" s="225"/>
      <c r="B50" s="1466" t="s">
        <v>1217</v>
      </c>
      <c r="C50" s="1289">
        <v>35</v>
      </c>
      <c r="D50" s="2312">
        <f>SUM(D51:D52)</f>
        <v>0</v>
      </c>
      <c r="E50" s="1755">
        <f aca="true" t="shared" si="37" ref="E50:N50">SUM(E51:E52)</f>
        <v>0</v>
      </c>
      <c r="F50" s="1294">
        <f t="shared" si="37"/>
        <v>0</v>
      </c>
      <c r="G50" s="1292">
        <f t="shared" si="37"/>
        <v>0</v>
      </c>
      <c r="H50" s="1291">
        <f t="shared" si="37"/>
        <v>0</v>
      </c>
      <c r="I50" s="1293">
        <f t="shared" si="37"/>
        <v>0</v>
      </c>
      <c r="J50" s="1293">
        <f t="shared" si="37"/>
        <v>0</v>
      </c>
      <c r="K50" s="1293">
        <f t="shared" si="37"/>
        <v>0</v>
      </c>
      <c r="L50" s="1293">
        <f t="shared" si="37"/>
        <v>0</v>
      </c>
      <c r="M50" s="1293">
        <f t="shared" si="37"/>
        <v>0</v>
      </c>
      <c r="N50" s="1293">
        <f t="shared" si="37"/>
        <v>0</v>
      </c>
      <c r="O50" s="1293">
        <f aca="true" t="shared" si="38" ref="O50:V50">SUM(O51:O52)</f>
        <v>0</v>
      </c>
      <c r="P50" s="2312">
        <f t="shared" si="38"/>
        <v>0</v>
      </c>
      <c r="Q50" s="2354">
        <f t="shared" si="38"/>
        <v>0</v>
      </c>
      <c r="R50" s="2355">
        <f t="shared" si="38"/>
        <v>0</v>
      </c>
      <c r="S50" s="1289">
        <f t="shared" si="38"/>
        <v>0</v>
      </c>
      <c r="T50" s="1293">
        <f t="shared" si="38"/>
        <v>0</v>
      </c>
      <c r="U50" s="1293">
        <f t="shared" si="38"/>
        <v>0</v>
      </c>
      <c r="V50" s="1294">
        <f t="shared" si="38"/>
        <v>0</v>
      </c>
    </row>
    <row r="51" spans="1:22" s="6" customFormat="1" ht="15" customHeight="1" hidden="1">
      <c r="A51" s="1486"/>
      <c r="B51" s="834" t="s">
        <v>340</v>
      </c>
      <c r="C51" s="883"/>
      <c r="D51" s="2305"/>
      <c r="E51" s="772"/>
      <c r="F51" s="139"/>
      <c r="G51" s="963"/>
      <c r="H51" s="35"/>
      <c r="I51" s="9"/>
      <c r="J51" s="9"/>
      <c r="K51" s="9"/>
      <c r="L51" s="9"/>
      <c r="M51" s="9"/>
      <c r="N51" s="9"/>
      <c r="O51" s="9"/>
      <c r="P51" s="382"/>
      <c r="Q51" s="2342"/>
      <c r="R51" s="253"/>
      <c r="S51" s="782"/>
      <c r="T51" s="9"/>
      <c r="U51" s="9"/>
      <c r="V51" s="139"/>
    </row>
    <row r="52" spans="1:22" s="387" customFormat="1" ht="15" customHeight="1" hidden="1">
      <c r="A52" s="1089"/>
      <c r="B52" s="1467" t="s">
        <v>341</v>
      </c>
      <c r="C52" s="1468"/>
      <c r="D52" s="2306"/>
      <c r="E52" s="1844"/>
      <c r="F52" s="1094"/>
      <c r="G52" s="1469"/>
      <c r="H52" s="1092"/>
      <c r="I52" s="1093"/>
      <c r="J52" s="1093"/>
      <c r="K52" s="1093"/>
      <c r="L52" s="1093"/>
      <c r="M52" s="1093"/>
      <c r="N52" s="1093"/>
      <c r="O52" s="1093"/>
      <c r="P52" s="1513"/>
      <c r="Q52" s="2343"/>
      <c r="R52" s="2344"/>
      <c r="S52" s="1090"/>
      <c r="T52" s="1093"/>
      <c r="U52" s="1093"/>
      <c r="V52" s="1094"/>
    </row>
    <row r="53" spans="1:22" s="65" customFormat="1" ht="15" customHeight="1">
      <c r="A53" s="1477"/>
      <c r="B53" s="1466" t="s">
        <v>1097</v>
      </c>
      <c r="C53" s="1057">
        <v>0</v>
      </c>
      <c r="D53" s="1681">
        <v>1898</v>
      </c>
      <c r="E53" s="1843">
        <f>SUM(E54:E55)</f>
        <v>937729</v>
      </c>
      <c r="F53" s="965">
        <f aca="true" t="shared" si="39" ref="F53:N53">SUM(F54:F55)</f>
        <v>28250.023854000003</v>
      </c>
      <c r="G53" s="1141">
        <f t="shared" si="39"/>
        <v>5316785</v>
      </c>
      <c r="H53" s="1096">
        <f t="shared" si="39"/>
        <v>160173.46490999998</v>
      </c>
      <c r="I53" s="1097">
        <f t="shared" si="39"/>
        <v>5316785</v>
      </c>
      <c r="J53" s="1097">
        <f t="shared" si="39"/>
        <v>160173.46490999998</v>
      </c>
      <c r="K53" s="1097">
        <f t="shared" si="39"/>
        <v>3844360</v>
      </c>
      <c r="L53" s="1097">
        <f t="shared" si="39"/>
        <v>115815.18936000002</v>
      </c>
      <c r="M53" s="1097">
        <f t="shared" si="39"/>
        <v>100000</v>
      </c>
      <c r="N53" s="1097">
        <f t="shared" si="39"/>
        <v>3012.6</v>
      </c>
      <c r="O53" s="1097">
        <f aca="true" t="shared" si="40" ref="O53:V53">SUM(O54:O55)</f>
        <v>5316785</v>
      </c>
      <c r="P53" s="1514">
        <f t="shared" si="40"/>
        <v>160173.46490999998</v>
      </c>
      <c r="Q53" s="2340">
        <f t="shared" si="40"/>
        <v>5316785</v>
      </c>
      <c r="R53" s="2341">
        <f t="shared" si="40"/>
        <v>160173.46490999998</v>
      </c>
      <c r="S53" s="970">
        <f t="shared" si="40"/>
        <v>3844360</v>
      </c>
      <c r="T53" s="1097">
        <f t="shared" si="40"/>
        <v>115815.18936000002</v>
      </c>
      <c r="U53" s="1097">
        <f t="shared" si="40"/>
        <v>100000</v>
      </c>
      <c r="V53" s="965">
        <f t="shared" si="40"/>
        <v>3012.6</v>
      </c>
    </row>
    <row r="54" spans="1:22" s="6" customFormat="1" ht="15" customHeight="1">
      <c r="A54" s="190"/>
      <c r="B54" s="834" t="s">
        <v>340</v>
      </c>
      <c r="C54" s="883"/>
      <c r="D54" s="2305"/>
      <c r="E54" s="772">
        <v>75000</v>
      </c>
      <c r="F54" s="139">
        <f>(E54*30.126)/1000</f>
        <v>2259.45</v>
      </c>
      <c r="G54" s="963">
        <v>229660</v>
      </c>
      <c r="H54" s="35">
        <f>G54*30.126/1000</f>
        <v>6918.737160000001</v>
      </c>
      <c r="I54" s="9">
        <v>229660</v>
      </c>
      <c r="J54" s="9">
        <f>I54*30.126/1000</f>
        <v>6918.737160000001</v>
      </c>
      <c r="K54" s="9">
        <v>210068</v>
      </c>
      <c r="L54" s="9">
        <f>K54*30.126/1000</f>
        <v>6328.508568</v>
      </c>
      <c r="M54" s="9">
        <v>100000</v>
      </c>
      <c r="N54" s="9">
        <f>M54*30.126/1000</f>
        <v>3012.6</v>
      </c>
      <c r="O54" s="9">
        <v>229660</v>
      </c>
      <c r="P54" s="382">
        <f>O54*30.126/1000</f>
        <v>6918.737160000001</v>
      </c>
      <c r="Q54" s="2342">
        <v>229660</v>
      </c>
      <c r="R54" s="253">
        <f>Q54*30.126/1000</f>
        <v>6918.737160000001</v>
      </c>
      <c r="S54" s="782">
        <v>210068</v>
      </c>
      <c r="T54" s="9">
        <f>S54*30.126/1000</f>
        <v>6328.508568</v>
      </c>
      <c r="U54" s="9">
        <v>100000</v>
      </c>
      <c r="V54" s="139">
        <f>U54*30.126/1000</f>
        <v>3012.6</v>
      </c>
    </row>
    <row r="55" spans="1:22" s="387" customFormat="1" ht="15" customHeight="1" thickBot="1">
      <c r="A55" s="1487"/>
      <c r="B55" s="1488" t="s">
        <v>341</v>
      </c>
      <c r="C55" s="1478"/>
      <c r="D55" s="2313"/>
      <c r="E55" s="2360">
        <v>862729</v>
      </c>
      <c r="F55" s="1492">
        <f>(E55*30.126)/1000</f>
        <v>25990.573854000002</v>
      </c>
      <c r="G55" s="1479">
        <v>5087125</v>
      </c>
      <c r="H55" s="1489">
        <f>G55*30.126/1000</f>
        <v>153254.72775</v>
      </c>
      <c r="I55" s="1490">
        <v>5087125</v>
      </c>
      <c r="J55" s="1491">
        <f>I55*30.126/1000</f>
        <v>153254.72775</v>
      </c>
      <c r="K55" s="1490">
        <v>3634292</v>
      </c>
      <c r="L55" s="1491">
        <f>K55*30.126/1000</f>
        <v>109486.68079200001</v>
      </c>
      <c r="M55" s="1490">
        <v>0</v>
      </c>
      <c r="N55" s="1490">
        <v>0</v>
      </c>
      <c r="O55" s="1490">
        <v>5087125</v>
      </c>
      <c r="P55" s="2326">
        <f>O55*30.126/1000</f>
        <v>153254.72775</v>
      </c>
      <c r="Q55" s="2356">
        <v>5087125</v>
      </c>
      <c r="R55" s="2357">
        <f>Q55*30.126/1000</f>
        <v>153254.72775</v>
      </c>
      <c r="S55" s="2328">
        <v>3634292</v>
      </c>
      <c r="T55" s="1491">
        <f>S55*30.126/1000</f>
        <v>109486.68079200001</v>
      </c>
      <c r="U55" s="1490">
        <v>0</v>
      </c>
      <c r="V55" s="1492">
        <v>0</v>
      </c>
    </row>
    <row r="56" spans="1:18" s="6" customFormat="1" ht="19.5" customHeight="1" thickBot="1">
      <c r="A56" s="16"/>
      <c r="C56" s="275"/>
      <c r="D56" s="275"/>
      <c r="E56" s="1937"/>
      <c r="F56" s="2317"/>
      <c r="Q56" s="2358"/>
      <c r="R56" s="2359"/>
    </row>
    <row r="57" spans="1:22" s="23" customFormat="1" ht="39.75" customHeight="1" thickTop="1">
      <c r="A57" s="2884"/>
      <c r="B57" s="2885"/>
      <c r="C57" s="539" t="s">
        <v>506</v>
      </c>
      <c r="D57" s="2314" t="s">
        <v>507</v>
      </c>
      <c r="E57" s="2890" t="s">
        <v>184</v>
      </c>
      <c r="F57" s="2891"/>
      <c r="G57" s="460" t="s">
        <v>510</v>
      </c>
      <c r="H57" s="496" t="s">
        <v>510</v>
      </c>
      <c r="I57" s="497" t="s">
        <v>87</v>
      </c>
      <c r="J57" s="497" t="s">
        <v>87</v>
      </c>
      <c r="K57" s="2870" t="s">
        <v>509</v>
      </c>
      <c r="L57" s="2870"/>
      <c r="M57" s="2870" t="s">
        <v>508</v>
      </c>
      <c r="N57" s="2870"/>
      <c r="O57" s="498" t="s">
        <v>952</v>
      </c>
      <c r="P57" s="1571" t="s">
        <v>952</v>
      </c>
      <c r="Q57" s="2901" t="s">
        <v>183</v>
      </c>
      <c r="R57" s="2902"/>
      <c r="S57" s="2892" t="s">
        <v>725</v>
      </c>
      <c r="T57" s="2875"/>
      <c r="U57" s="2875" t="s">
        <v>726</v>
      </c>
      <c r="V57" s="2878"/>
    </row>
    <row r="58" spans="1:22" s="24" customFormat="1" ht="15" customHeight="1" thickBot="1">
      <c r="A58" s="2886"/>
      <c r="B58" s="2887"/>
      <c r="C58" s="540" t="s">
        <v>966</v>
      </c>
      <c r="D58" s="2315" t="s">
        <v>966</v>
      </c>
      <c r="E58" s="2318" t="s">
        <v>435</v>
      </c>
      <c r="F58" s="2234" t="s">
        <v>966</v>
      </c>
      <c r="G58" s="461" t="s">
        <v>435</v>
      </c>
      <c r="H58" s="352" t="s">
        <v>966</v>
      </c>
      <c r="I58" s="499" t="s">
        <v>435</v>
      </c>
      <c r="J58" s="499" t="s">
        <v>966</v>
      </c>
      <c r="K58" s="241" t="s">
        <v>435</v>
      </c>
      <c r="L58" s="241" t="s">
        <v>966</v>
      </c>
      <c r="M58" s="241" t="s">
        <v>435</v>
      </c>
      <c r="N58" s="241" t="s">
        <v>966</v>
      </c>
      <c r="O58" s="500" t="s">
        <v>435</v>
      </c>
      <c r="P58" s="1572" t="s">
        <v>435</v>
      </c>
      <c r="Q58" s="240" t="s">
        <v>435</v>
      </c>
      <c r="R58" s="981" t="s">
        <v>966</v>
      </c>
      <c r="S58" s="797" t="s">
        <v>435</v>
      </c>
      <c r="T58" s="241" t="s">
        <v>966</v>
      </c>
      <c r="U58" s="241" t="s">
        <v>435</v>
      </c>
      <c r="V58" s="796" t="s">
        <v>966</v>
      </c>
    </row>
    <row r="59" spans="1:22" s="23" customFormat="1" ht="19.5" customHeight="1">
      <c r="A59" s="1341" t="s">
        <v>363</v>
      </c>
      <c r="B59" s="1342" t="s">
        <v>51</v>
      </c>
      <c r="C59" s="541" t="e">
        <f aca="true" t="shared" si="41" ref="C59:V59">C4+C17</f>
        <v>#REF!</v>
      </c>
      <c r="D59" s="1606" t="e">
        <f t="shared" si="41"/>
        <v>#REF!</v>
      </c>
      <c r="E59" s="2319">
        <f t="shared" si="41"/>
        <v>1046629</v>
      </c>
      <c r="F59" s="2320">
        <f t="shared" si="41"/>
        <v>31530.745254</v>
      </c>
      <c r="G59" s="493" t="e">
        <f t="shared" si="41"/>
        <v>#REF!</v>
      </c>
      <c r="H59" s="502" t="e">
        <f t="shared" si="41"/>
        <v>#REF!</v>
      </c>
      <c r="I59" s="487" t="e">
        <f t="shared" si="41"/>
        <v>#REF!</v>
      </c>
      <c r="J59" s="487" t="e">
        <f t="shared" si="41"/>
        <v>#REF!</v>
      </c>
      <c r="K59" s="487" t="e">
        <f t="shared" si="41"/>
        <v>#REF!</v>
      </c>
      <c r="L59" s="487" t="e">
        <f t="shared" si="41"/>
        <v>#REF!</v>
      </c>
      <c r="M59" s="487" t="e">
        <f t="shared" si="41"/>
        <v>#REF!</v>
      </c>
      <c r="N59" s="487" t="e">
        <f t="shared" si="41"/>
        <v>#REF!</v>
      </c>
      <c r="O59" s="487" t="e">
        <f t="shared" si="41"/>
        <v>#REF!</v>
      </c>
      <c r="P59" s="1606" t="e">
        <f t="shared" si="41"/>
        <v>#REF!</v>
      </c>
      <c r="Q59" s="555">
        <f t="shared" si="41"/>
        <v>5461160</v>
      </c>
      <c r="R59" s="488">
        <f t="shared" si="41"/>
        <v>164522.90615999998</v>
      </c>
      <c r="S59" s="541">
        <f t="shared" si="41"/>
        <v>3956863</v>
      </c>
      <c r="T59" s="487">
        <f t="shared" si="41"/>
        <v>119204.45473800001</v>
      </c>
      <c r="U59" s="487">
        <f t="shared" si="41"/>
        <v>155570</v>
      </c>
      <c r="V59" s="503">
        <f t="shared" si="41"/>
        <v>4686.701819999999</v>
      </c>
    </row>
    <row r="60" spans="1:22" s="30" customFormat="1" ht="15" customHeight="1">
      <c r="A60" s="1343"/>
      <c r="B60" s="1344" t="s">
        <v>965</v>
      </c>
      <c r="C60" s="542" t="e">
        <f aca="true" t="shared" si="42" ref="C60:V60">C5+C20</f>
        <v>#REF!</v>
      </c>
      <c r="D60" s="1607" t="e">
        <f t="shared" si="42"/>
        <v>#REF!</v>
      </c>
      <c r="E60" s="2321">
        <f t="shared" si="42"/>
        <v>108900</v>
      </c>
      <c r="F60" s="2322">
        <f t="shared" si="42"/>
        <v>3280.7214</v>
      </c>
      <c r="G60" s="494" t="e">
        <f t="shared" si="42"/>
        <v>#REF!</v>
      </c>
      <c r="H60" s="504" t="e">
        <f t="shared" si="42"/>
        <v>#REF!</v>
      </c>
      <c r="I60" s="489" t="e">
        <f t="shared" si="42"/>
        <v>#REF!</v>
      </c>
      <c r="J60" s="489" t="e">
        <f t="shared" si="42"/>
        <v>#REF!</v>
      </c>
      <c r="K60" s="489" t="e">
        <f t="shared" si="42"/>
        <v>#REF!</v>
      </c>
      <c r="L60" s="489" t="e">
        <f t="shared" si="42"/>
        <v>#REF!</v>
      </c>
      <c r="M60" s="489" t="e">
        <f t="shared" si="42"/>
        <v>#REF!</v>
      </c>
      <c r="N60" s="489" t="e">
        <f t="shared" si="42"/>
        <v>#REF!</v>
      </c>
      <c r="O60" s="489" t="e">
        <f t="shared" si="42"/>
        <v>#REF!</v>
      </c>
      <c r="P60" s="1607" t="e">
        <f t="shared" si="42"/>
        <v>#REF!</v>
      </c>
      <c r="Q60" s="556">
        <f t="shared" si="42"/>
        <v>144375</v>
      </c>
      <c r="R60" s="490">
        <f t="shared" si="42"/>
        <v>4349.44125</v>
      </c>
      <c r="S60" s="542">
        <f t="shared" si="42"/>
        <v>112503</v>
      </c>
      <c r="T60" s="489">
        <f t="shared" si="42"/>
        <v>3389.265378</v>
      </c>
      <c r="U60" s="489">
        <f t="shared" si="42"/>
        <v>55570</v>
      </c>
      <c r="V60" s="505">
        <f t="shared" si="42"/>
        <v>1674.1018199999999</v>
      </c>
    </row>
    <row r="61" spans="1:22" s="30" customFormat="1" ht="15" customHeight="1" thickBot="1">
      <c r="A61" s="1345"/>
      <c r="B61" s="1346" t="s">
        <v>967</v>
      </c>
      <c r="C61" s="543">
        <f>C44</f>
        <v>35</v>
      </c>
      <c r="D61" s="1608">
        <f aca="true" t="shared" si="43" ref="D61:N61">D44</f>
        <v>1898</v>
      </c>
      <c r="E61" s="2323">
        <f t="shared" si="43"/>
        <v>937729</v>
      </c>
      <c r="F61" s="2324">
        <f t="shared" si="43"/>
        <v>28250.023854000003</v>
      </c>
      <c r="G61" s="495">
        <f t="shared" si="43"/>
        <v>5316785</v>
      </c>
      <c r="H61" s="506">
        <f t="shared" si="43"/>
        <v>160173.46490999998</v>
      </c>
      <c r="I61" s="491">
        <f t="shared" si="43"/>
        <v>5316785</v>
      </c>
      <c r="J61" s="491">
        <f t="shared" si="43"/>
        <v>160173.46490999998</v>
      </c>
      <c r="K61" s="491">
        <f t="shared" si="43"/>
        <v>3844360</v>
      </c>
      <c r="L61" s="491">
        <f t="shared" si="43"/>
        <v>115815.18936000002</v>
      </c>
      <c r="M61" s="491">
        <f t="shared" si="43"/>
        <v>100000</v>
      </c>
      <c r="N61" s="491">
        <f t="shared" si="43"/>
        <v>3012.6</v>
      </c>
      <c r="O61" s="491">
        <f aca="true" t="shared" si="44" ref="O61:V61">O44</f>
        <v>5316785</v>
      </c>
      <c r="P61" s="1608">
        <f t="shared" si="44"/>
        <v>160173.46490999998</v>
      </c>
      <c r="Q61" s="982">
        <f t="shared" si="44"/>
        <v>5316785</v>
      </c>
      <c r="R61" s="983">
        <f t="shared" si="44"/>
        <v>160173.46490999998</v>
      </c>
      <c r="S61" s="543">
        <f t="shared" si="44"/>
        <v>3844360</v>
      </c>
      <c r="T61" s="491">
        <f t="shared" si="44"/>
        <v>115815.18936000002</v>
      </c>
      <c r="U61" s="491">
        <f t="shared" si="44"/>
        <v>100000</v>
      </c>
      <c r="V61" s="507">
        <f t="shared" si="44"/>
        <v>3012.6</v>
      </c>
    </row>
  </sheetData>
  <sheetProtection/>
  <mergeCells count="21">
    <mergeCell ref="A57:B58"/>
    <mergeCell ref="A15:B16"/>
    <mergeCell ref="M2:N2"/>
    <mergeCell ref="A2:B3"/>
    <mergeCell ref="K2:L2"/>
    <mergeCell ref="K57:L57"/>
    <mergeCell ref="M57:N57"/>
    <mergeCell ref="E15:F15"/>
    <mergeCell ref="E57:F57"/>
    <mergeCell ref="E2:F2"/>
    <mergeCell ref="U2:V2"/>
    <mergeCell ref="U15:V15"/>
    <mergeCell ref="U57:V57"/>
    <mergeCell ref="S2:T2"/>
    <mergeCell ref="S57:T57"/>
    <mergeCell ref="S15:T15"/>
    <mergeCell ref="Q2:R2"/>
    <mergeCell ref="Q15:R15"/>
    <mergeCell ref="Q57:R57"/>
    <mergeCell ref="K15:L15"/>
    <mergeCell ref="M15:N15"/>
  </mergeCells>
  <printOptions horizontalCentered="1"/>
  <pageMargins left="0" right="0.7874015748031497" top="1.1811023622047245" bottom="1.5748031496062993" header="0" footer="0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</sheetPr>
  <dimension ref="A1:V21"/>
  <sheetViews>
    <sheetView showGridLines="0" zoomScalePageLayoutView="0" workbookViewId="0" topLeftCell="A1">
      <pane xSplit="2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0" sqref="E10"/>
    </sheetView>
  </sheetViews>
  <sheetFormatPr defaultColWidth="9.140625" defaultRowHeight="12.75"/>
  <cols>
    <col min="1" max="1" width="7.7109375" style="0" customWidth="1"/>
    <col min="2" max="2" width="61.8515625" style="0" customWidth="1"/>
    <col min="3" max="4" width="10.7109375" style="0" hidden="1" customWidth="1"/>
    <col min="5" max="6" width="10.7109375" style="0" customWidth="1"/>
    <col min="7" max="16" width="10.7109375" style="0" hidden="1" customWidth="1"/>
    <col min="17" max="22" width="10.7109375" style="0" customWidth="1"/>
  </cols>
  <sheetData>
    <row r="1" spans="1:18" ht="21" hidden="1" thickBot="1" thickTop="1">
      <c r="A1" s="237" t="s">
        <v>1122</v>
      </c>
      <c r="E1" s="2231"/>
      <c r="F1" s="2232"/>
      <c r="Q1" s="2248"/>
      <c r="R1" s="2249"/>
    </row>
    <row r="2" spans="1:22" s="23" customFormat="1" ht="39.75" customHeight="1" thickTop="1">
      <c r="A2" s="2952"/>
      <c r="B2" s="2953"/>
      <c r="C2" s="1493" t="s">
        <v>506</v>
      </c>
      <c r="D2" s="2219" t="s">
        <v>507</v>
      </c>
      <c r="E2" s="3012" t="s">
        <v>184</v>
      </c>
      <c r="F2" s="3012"/>
      <c r="G2" s="570" t="s">
        <v>510</v>
      </c>
      <c r="H2" s="473" t="s">
        <v>510</v>
      </c>
      <c r="I2" s="474" t="s">
        <v>87</v>
      </c>
      <c r="J2" s="474" t="s">
        <v>87</v>
      </c>
      <c r="K2" s="2871" t="s">
        <v>509</v>
      </c>
      <c r="L2" s="2871"/>
      <c r="M2" s="2871" t="s">
        <v>508</v>
      </c>
      <c r="N2" s="2871"/>
      <c r="O2" s="475" t="s">
        <v>952</v>
      </c>
      <c r="P2" s="767" t="s">
        <v>952</v>
      </c>
      <c r="Q2" s="2948" t="s">
        <v>183</v>
      </c>
      <c r="R2" s="2949"/>
      <c r="S2" s="2956" t="s">
        <v>725</v>
      </c>
      <c r="T2" s="2957"/>
      <c r="U2" s="2957" t="s">
        <v>726</v>
      </c>
      <c r="V2" s="3011"/>
    </row>
    <row r="3" spans="1:22" s="24" customFormat="1" ht="15" customHeight="1" thickBot="1">
      <c r="A3" s="3008"/>
      <c r="B3" s="3009"/>
      <c r="C3" s="1457" t="s">
        <v>966</v>
      </c>
      <c r="D3" s="2220" t="s">
        <v>966</v>
      </c>
      <c r="E3" s="239" t="s">
        <v>435</v>
      </c>
      <c r="F3" s="239" t="s">
        <v>966</v>
      </c>
      <c r="G3" s="461" t="s">
        <v>435</v>
      </c>
      <c r="H3" s="346" t="s">
        <v>966</v>
      </c>
      <c r="I3" s="450" t="s">
        <v>435</v>
      </c>
      <c r="J3" s="450" t="s">
        <v>966</v>
      </c>
      <c r="K3" s="239" t="s">
        <v>435</v>
      </c>
      <c r="L3" s="239" t="s">
        <v>966</v>
      </c>
      <c r="M3" s="239" t="s">
        <v>435</v>
      </c>
      <c r="N3" s="239" t="s">
        <v>966</v>
      </c>
      <c r="O3" s="451" t="s">
        <v>435</v>
      </c>
      <c r="P3" s="765" t="s">
        <v>966</v>
      </c>
      <c r="Q3" s="2250" t="s">
        <v>435</v>
      </c>
      <c r="R3" s="975" t="s">
        <v>966</v>
      </c>
      <c r="S3" s="797" t="s">
        <v>435</v>
      </c>
      <c r="T3" s="241" t="s">
        <v>966</v>
      </c>
      <c r="U3" s="241" t="s">
        <v>435</v>
      </c>
      <c r="V3" s="2234" t="s">
        <v>966</v>
      </c>
    </row>
    <row r="4" spans="1:22" s="23" customFormat="1" ht="19.5" customHeight="1">
      <c r="A4" s="153" t="s">
        <v>364</v>
      </c>
      <c r="B4" s="1496" t="s">
        <v>406</v>
      </c>
      <c r="C4" s="1494">
        <f>C5</f>
        <v>18384</v>
      </c>
      <c r="D4" s="2221">
        <f>D5</f>
        <v>17631</v>
      </c>
      <c r="E4" s="27">
        <f>E5</f>
        <v>724791</v>
      </c>
      <c r="F4" s="27">
        <f>F5</f>
        <v>21835.053666</v>
      </c>
      <c r="G4" s="2226">
        <f aca="true" t="shared" si="0" ref="G4:V4">G5</f>
        <v>508464.4493128859</v>
      </c>
      <c r="H4" s="22">
        <f t="shared" si="0"/>
        <v>15318</v>
      </c>
      <c r="I4" s="27">
        <f t="shared" si="0"/>
        <v>508464</v>
      </c>
      <c r="J4" s="27">
        <f t="shared" si="0"/>
        <v>15317.986464000001</v>
      </c>
      <c r="K4" s="27">
        <f t="shared" si="0"/>
        <v>0</v>
      </c>
      <c r="L4" s="27">
        <f t="shared" si="0"/>
        <v>13837</v>
      </c>
      <c r="M4" s="27">
        <f t="shared" si="0"/>
        <v>0</v>
      </c>
      <c r="N4" s="27">
        <f t="shared" si="0"/>
        <v>12693</v>
      </c>
      <c r="O4" s="27">
        <f t="shared" si="0"/>
        <v>508464</v>
      </c>
      <c r="P4" s="753">
        <f t="shared" si="0"/>
        <v>15317.986464000001</v>
      </c>
      <c r="Q4" s="2251">
        <f t="shared" si="0"/>
        <v>625695</v>
      </c>
      <c r="R4" s="2252">
        <f t="shared" si="0"/>
        <v>18849.687570000002</v>
      </c>
      <c r="S4" s="2242">
        <f t="shared" si="0"/>
        <v>598487</v>
      </c>
      <c r="T4" s="1867">
        <f t="shared" si="0"/>
        <v>18030.019362</v>
      </c>
      <c r="U4" s="1867">
        <f t="shared" si="0"/>
        <v>598487</v>
      </c>
      <c r="V4" s="2235">
        <f t="shared" si="0"/>
        <v>18030.019362</v>
      </c>
    </row>
    <row r="5" spans="1:22" s="1" customFormat="1" ht="19.5" customHeight="1">
      <c r="A5" s="137" t="s">
        <v>365</v>
      </c>
      <c r="B5" s="832" t="s">
        <v>965</v>
      </c>
      <c r="C5" s="1495">
        <f aca="true" t="shared" si="1" ref="C5:N5">C6+C7</f>
        <v>18384</v>
      </c>
      <c r="D5" s="2222">
        <f t="shared" si="1"/>
        <v>17631</v>
      </c>
      <c r="E5" s="589">
        <f>E6+E7+E10</f>
        <v>724791</v>
      </c>
      <c r="F5" s="589">
        <f>SUM(F6+F7+F10)</f>
        <v>21835.053666</v>
      </c>
      <c r="G5" s="2227">
        <f t="shared" si="1"/>
        <v>508464.4493128859</v>
      </c>
      <c r="H5" s="62">
        <f t="shared" si="1"/>
        <v>15318</v>
      </c>
      <c r="I5" s="589">
        <f t="shared" si="1"/>
        <v>508464</v>
      </c>
      <c r="J5" s="589">
        <f t="shared" si="1"/>
        <v>15317.986464000001</v>
      </c>
      <c r="K5" s="589">
        <f t="shared" si="1"/>
        <v>0</v>
      </c>
      <c r="L5" s="589">
        <f t="shared" si="1"/>
        <v>13837</v>
      </c>
      <c r="M5" s="589">
        <f t="shared" si="1"/>
        <v>0</v>
      </c>
      <c r="N5" s="589">
        <f t="shared" si="1"/>
        <v>12693</v>
      </c>
      <c r="O5" s="589">
        <f>O6+O7</f>
        <v>508464</v>
      </c>
      <c r="P5" s="754">
        <f>P6+P7</f>
        <v>15317.986464000001</v>
      </c>
      <c r="Q5" s="2253">
        <f>Q6+Q7+Q10</f>
        <v>625695</v>
      </c>
      <c r="R5" s="2254">
        <f>SUM(R6+R7+R10)</f>
        <v>18849.687570000002</v>
      </c>
      <c r="S5" s="2243">
        <v>598487</v>
      </c>
      <c r="T5" s="1868">
        <f>S5*30.126/1000</f>
        <v>18030.019362</v>
      </c>
      <c r="U5" s="1868">
        <v>598487</v>
      </c>
      <c r="V5" s="2236">
        <f>U5*30.126/1000</f>
        <v>18030.019362</v>
      </c>
    </row>
    <row r="6" spans="1:22" s="6" customFormat="1" ht="15" customHeight="1">
      <c r="A6" s="138"/>
      <c r="B6" s="1856" t="s">
        <v>407</v>
      </c>
      <c r="C6" s="1857">
        <v>18384</v>
      </c>
      <c r="D6" s="2223">
        <v>17631</v>
      </c>
      <c r="E6" s="1859">
        <v>531103</v>
      </c>
      <c r="F6" s="1859">
        <f>E6*30.126/1000</f>
        <v>16000.008978</v>
      </c>
      <c r="G6" s="2228">
        <f>H6/30.126*1000</f>
        <v>508464.4493128859</v>
      </c>
      <c r="H6" s="1858">
        <v>15318</v>
      </c>
      <c r="I6" s="1859">
        <v>508464</v>
      </c>
      <c r="J6" s="1859">
        <f>I6*30.126/1000</f>
        <v>15317.986464000001</v>
      </c>
      <c r="K6" s="1859"/>
      <c r="L6" s="1859">
        <v>13837</v>
      </c>
      <c r="M6" s="1859"/>
      <c r="N6" s="1860">
        <v>12693</v>
      </c>
      <c r="O6" s="1859">
        <v>508464</v>
      </c>
      <c r="P6" s="1864">
        <f>O6*30.126/1000</f>
        <v>15317.986464000001</v>
      </c>
      <c r="Q6" s="2255">
        <v>508464</v>
      </c>
      <c r="R6" s="2256">
        <f>Q6*30.126/1000</f>
        <v>15317.986464000001</v>
      </c>
      <c r="S6" s="2244"/>
      <c r="T6" s="1869"/>
      <c r="U6" s="1869"/>
      <c r="V6" s="2237"/>
    </row>
    <row r="7" spans="1:22" s="6" customFormat="1" ht="15" customHeight="1">
      <c r="A7" s="140"/>
      <c r="B7" s="1861" t="s">
        <v>379</v>
      </c>
      <c r="C7" s="1862">
        <f>SUM(C8:C9)</f>
        <v>0</v>
      </c>
      <c r="D7" s="2224">
        <f>SUM(D8:D9)</f>
        <v>0</v>
      </c>
      <c r="E7" s="2233">
        <f>SUM(E8:E9)</f>
        <v>90023</v>
      </c>
      <c r="F7" s="2233">
        <f aca="true" t="shared" si="2" ref="F7:R7">SUM(F8:F9)</f>
        <v>2712.032898</v>
      </c>
      <c r="G7" s="2229">
        <f t="shared" si="2"/>
        <v>0</v>
      </c>
      <c r="H7" s="1863">
        <f t="shared" si="2"/>
        <v>0</v>
      </c>
      <c r="I7" s="1863">
        <f t="shared" si="2"/>
        <v>0</v>
      </c>
      <c r="J7" s="1863">
        <f t="shared" si="2"/>
        <v>0</v>
      </c>
      <c r="K7" s="1863">
        <f t="shared" si="2"/>
        <v>0</v>
      </c>
      <c r="L7" s="1863">
        <f t="shared" si="2"/>
        <v>0</v>
      </c>
      <c r="M7" s="1863">
        <f t="shared" si="2"/>
        <v>0</v>
      </c>
      <c r="N7" s="1863">
        <f t="shared" si="2"/>
        <v>0</v>
      </c>
      <c r="O7" s="1863">
        <f t="shared" si="2"/>
        <v>0</v>
      </c>
      <c r="P7" s="1865">
        <f t="shared" si="2"/>
        <v>0</v>
      </c>
      <c r="Q7" s="2257">
        <f t="shared" si="2"/>
        <v>90023</v>
      </c>
      <c r="R7" s="2258">
        <f t="shared" si="2"/>
        <v>2712.032898</v>
      </c>
      <c r="S7" s="2245"/>
      <c r="T7" s="1870"/>
      <c r="U7" s="1870"/>
      <c r="V7" s="2238"/>
    </row>
    <row r="8" spans="1:22" s="6" customFormat="1" ht="15" customHeight="1">
      <c r="A8" s="140"/>
      <c r="B8" s="34" t="s">
        <v>380</v>
      </c>
      <c r="C8" s="15"/>
      <c r="D8" s="1524"/>
      <c r="E8" s="41">
        <v>67570</v>
      </c>
      <c r="F8" s="41">
        <f>(E8*30.126)/1000</f>
        <v>2035.61382</v>
      </c>
      <c r="G8" s="930"/>
      <c r="H8" s="427"/>
      <c r="I8" s="428"/>
      <c r="J8" s="257"/>
      <c r="K8" s="257"/>
      <c r="L8" s="429"/>
      <c r="M8" s="428"/>
      <c r="N8" s="304"/>
      <c r="O8" s="428"/>
      <c r="P8" s="1576"/>
      <c r="Q8" s="2259">
        <v>67570</v>
      </c>
      <c r="R8" s="979">
        <f>Q8*30.126/1000</f>
        <v>2035.61382</v>
      </c>
      <c r="S8" s="2246"/>
      <c r="T8" s="257"/>
      <c r="U8" s="257"/>
      <c r="V8" s="2239"/>
    </row>
    <row r="9" spans="1:22" s="6" customFormat="1" ht="15" customHeight="1" thickBot="1">
      <c r="A9" s="171"/>
      <c r="B9" s="430" t="s">
        <v>381</v>
      </c>
      <c r="C9" s="218"/>
      <c r="D9" s="2225"/>
      <c r="E9" s="141">
        <v>22453</v>
      </c>
      <c r="F9" s="2240">
        <f>(E9*30.126)/1000</f>
        <v>676.419078</v>
      </c>
      <c r="G9" s="2230"/>
      <c r="H9" s="431"/>
      <c r="I9" s="432"/>
      <c r="J9" s="433"/>
      <c r="K9" s="433"/>
      <c r="L9" s="434"/>
      <c r="M9" s="432"/>
      <c r="N9" s="435"/>
      <c r="O9" s="432"/>
      <c r="P9" s="1866"/>
      <c r="Q9" s="2260">
        <v>22453</v>
      </c>
      <c r="R9" s="2261">
        <f>Q9*30.126/1000</f>
        <v>676.419078</v>
      </c>
      <c r="S9" s="2247"/>
      <c r="T9" s="433"/>
      <c r="U9" s="433"/>
      <c r="V9" s="2241"/>
    </row>
    <row r="10" spans="1:22" s="6" customFormat="1" ht="15" customHeight="1">
      <c r="A10" s="140"/>
      <c r="B10" s="2808" t="s">
        <v>1218</v>
      </c>
      <c r="C10" s="828"/>
      <c r="D10" s="2366"/>
      <c r="E10" s="1531">
        <f>SUM(E11:E17)</f>
        <v>103665</v>
      </c>
      <c r="F10" s="2805">
        <f>SUM(F11:F17)</f>
        <v>3123.0117899999996</v>
      </c>
      <c r="G10" s="1472"/>
      <c r="H10" s="1472"/>
      <c r="I10" s="1472"/>
      <c r="J10" s="1472"/>
      <c r="K10" s="1472"/>
      <c r="L10" s="1472"/>
      <c r="M10" s="1472"/>
      <c r="N10" s="1472"/>
      <c r="O10" s="1472"/>
      <c r="P10" s="1472"/>
      <c r="Q10" s="2806">
        <f>SUM(Q11:Q17)</f>
        <v>27208</v>
      </c>
      <c r="R10" s="2811">
        <f>SUM(R11:R17)</f>
        <v>819.6682079999998</v>
      </c>
      <c r="S10" s="1472"/>
      <c r="T10" s="1472"/>
      <c r="U10" s="1472"/>
      <c r="V10" s="2807"/>
    </row>
    <row r="11" spans="1:22" s="6" customFormat="1" ht="15.75" customHeight="1">
      <c r="A11" s="140"/>
      <c r="B11" s="2809" t="s">
        <v>918</v>
      </c>
      <c r="C11" s="883"/>
      <c r="D11" s="2305"/>
      <c r="E11" s="772"/>
      <c r="F11" s="139"/>
      <c r="G11" s="446">
        <v>1660</v>
      </c>
      <c r="H11" s="470">
        <f aca="true" t="shared" si="3" ref="H11:H17">G11*30.126/1000</f>
        <v>50.00916</v>
      </c>
      <c r="I11" s="9">
        <v>1660</v>
      </c>
      <c r="J11" s="9">
        <f aca="true" t="shared" si="4" ref="J11:J17">I11*30.126/1000</f>
        <v>50.00916</v>
      </c>
      <c r="K11" s="9">
        <v>1660</v>
      </c>
      <c r="L11" s="9">
        <f>K11*30.126/1000</f>
        <v>50.00916</v>
      </c>
      <c r="M11" s="9">
        <v>1660</v>
      </c>
      <c r="N11" s="9">
        <f>M11*30.126/1000</f>
        <v>50.00916</v>
      </c>
      <c r="O11" s="9">
        <v>1660</v>
      </c>
      <c r="P11" s="382">
        <f aca="true" t="shared" si="5" ref="P11:P17">O11*30.126/1000</f>
        <v>50.00916</v>
      </c>
      <c r="Q11" s="35">
        <v>1660</v>
      </c>
      <c r="R11" s="8">
        <f aca="true" t="shared" si="6" ref="R11:R17">Q11*30.126/1000</f>
        <v>50.00916</v>
      </c>
      <c r="S11" s="782"/>
      <c r="T11" s="9"/>
      <c r="U11" s="9"/>
      <c r="V11" s="139"/>
    </row>
    <row r="12" spans="1:22" s="6" customFormat="1" ht="15.75" customHeight="1">
      <c r="A12" s="197"/>
      <c r="B12" s="2809" t="s">
        <v>154</v>
      </c>
      <c r="C12" s="883"/>
      <c r="D12" s="2305"/>
      <c r="E12" s="772"/>
      <c r="F12" s="139"/>
      <c r="G12" s="446">
        <v>500</v>
      </c>
      <c r="H12" s="470">
        <f t="shared" si="3"/>
        <v>15.063</v>
      </c>
      <c r="I12" s="9">
        <v>500</v>
      </c>
      <c r="J12" s="9">
        <f t="shared" si="4"/>
        <v>15.063</v>
      </c>
      <c r="K12" s="9">
        <v>500</v>
      </c>
      <c r="L12" s="9">
        <f>K12*30.126/1000</f>
        <v>15.063</v>
      </c>
      <c r="M12" s="9">
        <v>500</v>
      </c>
      <c r="N12" s="9">
        <f>M12*30.126/1000</f>
        <v>15.063</v>
      </c>
      <c r="O12" s="9">
        <v>500</v>
      </c>
      <c r="P12" s="382">
        <f t="shared" si="5"/>
        <v>15.063</v>
      </c>
      <c r="Q12" s="35">
        <v>500</v>
      </c>
      <c r="R12" s="8">
        <f t="shared" si="6"/>
        <v>15.063</v>
      </c>
      <c r="S12" s="782"/>
      <c r="T12" s="9"/>
      <c r="U12" s="9"/>
      <c r="V12" s="139"/>
    </row>
    <row r="13" spans="1:22" s="6" customFormat="1" ht="15" customHeight="1">
      <c r="A13" s="187"/>
      <c r="B13" s="2810" t="s">
        <v>870</v>
      </c>
      <c r="C13" s="783">
        <v>364</v>
      </c>
      <c r="D13" s="458">
        <v>365</v>
      </c>
      <c r="E13" s="2371">
        <v>13278</v>
      </c>
      <c r="F13" s="227">
        <f>(E13*30.126)/1000</f>
        <v>400.01302799999996</v>
      </c>
      <c r="G13" s="563">
        <v>13278</v>
      </c>
      <c r="H13" s="361">
        <f t="shared" si="3"/>
        <v>400.01302799999996</v>
      </c>
      <c r="I13" s="41">
        <v>13278</v>
      </c>
      <c r="J13" s="15">
        <f t="shared" si="4"/>
        <v>400.01302799999996</v>
      </c>
      <c r="K13" s="41"/>
      <c r="L13" s="41"/>
      <c r="M13" s="41"/>
      <c r="N13" s="9"/>
      <c r="O13" s="41">
        <v>13278</v>
      </c>
      <c r="P13" s="1524">
        <f t="shared" si="5"/>
        <v>400.01302799999996</v>
      </c>
      <c r="Q13" s="43">
        <v>13278</v>
      </c>
      <c r="R13" s="37">
        <f t="shared" si="6"/>
        <v>400.01302799999996</v>
      </c>
      <c r="S13" s="930"/>
      <c r="T13" s="15"/>
      <c r="U13" s="41"/>
      <c r="V13" s="324"/>
    </row>
    <row r="14" spans="1:22" s="3" customFormat="1" ht="15" customHeight="1">
      <c r="A14" s="196"/>
      <c r="B14" s="2809" t="s">
        <v>155</v>
      </c>
      <c r="C14" s="783">
        <v>150</v>
      </c>
      <c r="D14" s="458"/>
      <c r="E14" s="9">
        <v>90221</v>
      </c>
      <c r="F14" s="9">
        <f>(E14*30.126)/1000</f>
        <v>2717.9978459999998</v>
      </c>
      <c r="G14" s="446">
        <v>5000</v>
      </c>
      <c r="H14" s="354">
        <f t="shared" si="3"/>
        <v>150.63</v>
      </c>
      <c r="I14" s="249">
        <v>5000</v>
      </c>
      <c r="J14" s="249">
        <f t="shared" si="4"/>
        <v>150.63</v>
      </c>
      <c r="K14" s="249">
        <v>5000</v>
      </c>
      <c r="L14" s="249">
        <f>K14*30.126/1000</f>
        <v>150.63</v>
      </c>
      <c r="M14" s="249">
        <v>5000</v>
      </c>
      <c r="N14" s="249">
        <f>M14*30.126/1000</f>
        <v>150.63</v>
      </c>
      <c r="O14" s="249">
        <v>5000</v>
      </c>
      <c r="P14" s="1553">
        <f t="shared" si="5"/>
        <v>150.63</v>
      </c>
      <c r="Q14" s="2302">
        <v>5000</v>
      </c>
      <c r="R14" s="2303">
        <f t="shared" si="6"/>
        <v>150.63</v>
      </c>
      <c r="S14" s="2291"/>
      <c r="T14" s="249"/>
      <c r="U14" s="249"/>
      <c r="V14" s="2281"/>
    </row>
    <row r="15" spans="1:22" s="3" customFormat="1" ht="15" customHeight="1">
      <c r="A15" s="196"/>
      <c r="B15" s="2809" t="s">
        <v>156</v>
      </c>
      <c r="C15" s="1460"/>
      <c r="D15" s="2266"/>
      <c r="E15" s="2271"/>
      <c r="F15" s="2271"/>
      <c r="G15" s="445">
        <v>3300</v>
      </c>
      <c r="H15" s="354">
        <f t="shared" si="3"/>
        <v>99.4158</v>
      </c>
      <c r="I15" s="341">
        <v>3300</v>
      </c>
      <c r="J15" s="249">
        <f t="shared" si="4"/>
        <v>99.4158</v>
      </c>
      <c r="K15" s="341">
        <v>3300</v>
      </c>
      <c r="L15" s="249">
        <f>K15*30.126/1000</f>
        <v>99.4158</v>
      </c>
      <c r="M15" s="341">
        <v>3300</v>
      </c>
      <c r="N15" s="249">
        <f>M15*30.126/1000</f>
        <v>99.4158</v>
      </c>
      <c r="O15" s="341">
        <v>3300</v>
      </c>
      <c r="P15" s="1553">
        <f t="shared" si="5"/>
        <v>99.4158</v>
      </c>
      <c r="Q15" s="2300">
        <v>3300</v>
      </c>
      <c r="R15" s="2303">
        <f t="shared" si="6"/>
        <v>99.4158</v>
      </c>
      <c r="S15" s="2290"/>
      <c r="T15" s="249"/>
      <c r="U15" s="341"/>
      <c r="V15" s="2281"/>
    </row>
    <row r="16" spans="1:22" s="3" customFormat="1" ht="15" customHeight="1">
      <c r="A16" s="192"/>
      <c r="B16" s="2809" t="s">
        <v>157</v>
      </c>
      <c r="C16" s="783"/>
      <c r="D16" s="458"/>
      <c r="E16" s="9"/>
      <c r="F16" s="9"/>
      <c r="G16" s="446">
        <v>3300</v>
      </c>
      <c r="H16" s="354">
        <f t="shared" si="3"/>
        <v>99.4158</v>
      </c>
      <c r="I16" s="249">
        <v>3300</v>
      </c>
      <c r="J16" s="249">
        <f t="shared" si="4"/>
        <v>99.4158</v>
      </c>
      <c r="K16" s="249">
        <v>3300</v>
      </c>
      <c r="L16" s="249">
        <f>K16*30.126/1000</f>
        <v>99.4158</v>
      </c>
      <c r="M16" s="249">
        <v>3300</v>
      </c>
      <c r="N16" s="249">
        <f>M16*30.126/1000</f>
        <v>99.4158</v>
      </c>
      <c r="O16" s="249">
        <v>3300</v>
      </c>
      <c r="P16" s="1553">
        <f t="shared" si="5"/>
        <v>99.4158</v>
      </c>
      <c r="Q16" s="2302">
        <v>3300</v>
      </c>
      <c r="R16" s="2303">
        <f t="shared" si="6"/>
        <v>99.4158</v>
      </c>
      <c r="S16" s="2291"/>
      <c r="T16" s="249"/>
      <c r="U16" s="249"/>
      <c r="V16" s="2281"/>
    </row>
    <row r="17" spans="1:22" s="3" customFormat="1" ht="15" customHeight="1">
      <c r="A17" s="199"/>
      <c r="B17" s="2815" t="s">
        <v>158</v>
      </c>
      <c r="C17" s="2816"/>
      <c r="D17" s="2817">
        <v>5</v>
      </c>
      <c r="E17" s="10">
        <v>166</v>
      </c>
      <c r="F17" s="10">
        <f>(E17*30.126)/1000</f>
        <v>5.000916</v>
      </c>
      <c r="G17" s="598">
        <v>170</v>
      </c>
      <c r="H17" s="602">
        <f t="shared" si="3"/>
        <v>5.12142</v>
      </c>
      <c r="I17" s="317">
        <v>170</v>
      </c>
      <c r="J17" s="317">
        <f t="shared" si="4"/>
        <v>5.12142</v>
      </c>
      <c r="K17" s="317">
        <v>170</v>
      </c>
      <c r="L17" s="317">
        <f>K17*30.126/1000</f>
        <v>5.12142</v>
      </c>
      <c r="M17" s="317">
        <v>170</v>
      </c>
      <c r="N17" s="317">
        <f>M17*30.126/1000</f>
        <v>5.12142</v>
      </c>
      <c r="O17" s="317">
        <v>170</v>
      </c>
      <c r="P17" s="2818">
        <f t="shared" si="5"/>
        <v>5.12142</v>
      </c>
      <c r="Q17" s="2819">
        <v>170</v>
      </c>
      <c r="R17" s="2820">
        <f t="shared" si="6"/>
        <v>5.12142</v>
      </c>
      <c r="S17" s="2821"/>
      <c r="T17" s="317"/>
      <c r="U17" s="317"/>
      <c r="V17" s="2822"/>
    </row>
    <row r="21" ht="12.75">
      <c r="F21" s="393"/>
    </row>
  </sheetData>
  <sheetProtection/>
  <mergeCells count="7">
    <mergeCell ref="Q2:R2"/>
    <mergeCell ref="U2:V2"/>
    <mergeCell ref="M2:N2"/>
    <mergeCell ref="A2:B3"/>
    <mergeCell ref="K2:L2"/>
    <mergeCell ref="E2:F2"/>
    <mergeCell ref="S2:T2"/>
  </mergeCells>
  <printOptions horizontalCentered="1"/>
  <pageMargins left="0" right="0.7874015748031497" top="1.1811023622047245" bottom="0.1968503937007874" header="0" footer="0"/>
  <pageSetup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="90" zoomScaleNormal="90" zoomScalePageLayoutView="0" workbookViewId="0" topLeftCell="A1">
      <selection activeCell="F2" sqref="F1:K16384"/>
    </sheetView>
  </sheetViews>
  <sheetFormatPr defaultColWidth="9.140625" defaultRowHeight="12.75"/>
  <cols>
    <col min="1" max="1" width="5.7109375" style="0" customWidth="1"/>
    <col min="2" max="2" width="45.140625" style="0" bestFit="1" customWidth="1"/>
    <col min="3" max="10" width="12.7109375" style="0" customWidth="1"/>
  </cols>
  <sheetData>
    <row r="1" spans="1:10" ht="39.75" customHeight="1" thickTop="1">
      <c r="A1" s="3027" t="s">
        <v>809</v>
      </c>
      <c r="B1" s="3028"/>
      <c r="C1" s="3012" t="s">
        <v>761</v>
      </c>
      <c r="D1" s="3023"/>
      <c r="E1" s="2859" t="s">
        <v>183</v>
      </c>
      <c r="F1" s="2860"/>
      <c r="G1" s="2865" t="s">
        <v>725</v>
      </c>
      <c r="H1" s="2863"/>
      <c r="I1" s="2863" t="s">
        <v>726</v>
      </c>
      <c r="J1" s="2864"/>
    </row>
    <row r="2" spans="1:10" ht="15" customHeight="1" thickBot="1">
      <c r="A2" s="3029"/>
      <c r="B2" s="3030"/>
      <c r="C2" s="1965" t="s">
        <v>435</v>
      </c>
      <c r="D2" s="2103" t="s">
        <v>966</v>
      </c>
      <c r="E2" s="1963" t="s">
        <v>435</v>
      </c>
      <c r="F2" s="1964" t="s">
        <v>966</v>
      </c>
      <c r="G2" s="2097" t="s">
        <v>435</v>
      </c>
      <c r="H2" s="1965" t="s">
        <v>966</v>
      </c>
      <c r="I2" s="1965" t="s">
        <v>435</v>
      </c>
      <c r="J2" s="1966" t="s">
        <v>966</v>
      </c>
    </row>
    <row r="3" spans="1:10" s="406" customFormat="1" ht="19.5" customHeight="1">
      <c r="A3" s="2179" t="s">
        <v>795</v>
      </c>
      <c r="B3" s="2180" t="s">
        <v>810</v>
      </c>
      <c r="C3" s="2181">
        <f>C4+C8+C9</f>
        <v>6599379</v>
      </c>
      <c r="D3" s="2182">
        <f aca="true" t="shared" si="0" ref="D3:J3">D4+D8+D9</f>
        <v>198812.891754</v>
      </c>
      <c r="E3" s="2183">
        <f t="shared" si="0"/>
        <v>6339169</v>
      </c>
      <c r="F3" s="2184">
        <f t="shared" si="0"/>
        <v>190972.211714</v>
      </c>
      <c r="G3" s="2185">
        <f t="shared" si="0"/>
        <v>3692378</v>
      </c>
      <c r="H3" s="2181">
        <f t="shared" si="0"/>
        <v>111236.989426</v>
      </c>
      <c r="I3" s="2181">
        <f t="shared" si="0"/>
        <v>1470198</v>
      </c>
      <c r="J3" s="2186">
        <f t="shared" si="0"/>
        <v>44290.989426</v>
      </c>
    </row>
    <row r="4" spans="1:10" s="406" customFormat="1" ht="19.5" customHeight="1">
      <c r="A4" s="2030"/>
      <c r="B4" s="2128" t="s">
        <v>811</v>
      </c>
      <c r="C4" s="2035">
        <f>SUM(C5:C7)</f>
        <v>3041083</v>
      </c>
      <c r="D4" s="2139">
        <f>SUM(D5:D7)</f>
        <v>91615.666458</v>
      </c>
      <c r="E4" s="2033">
        <f>SUM(E5:E7)</f>
        <v>3436839</v>
      </c>
      <c r="F4" s="2034">
        <f>E4*30.126/1000</f>
        <v>103538.211714</v>
      </c>
      <c r="G4" s="2133">
        <f>SUM(G5:G7)</f>
        <v>265551</v>
      </c>
      <c r="H4" s="2035">
        <f>G4*30.126/1000</f>
        <v>7999.989426</v>
      </c>
      <c r="I4" s="2035">
        <f>SUM(I5:I7)</f>
        <v>265551</v>
      </c>
      <c r="J4" s="2036">
        <f>I4*30.126/1000</f>
        <v>7999.989426</v>
      </c>
    </row>
    <row r="5" spans="1:10" ht="19.5" customHeight="1">
      <c r="A5" s="2031"/>
      <c r="B5" s="2129" t="s">
        <v>828</v>
      </c>
      <c r="C5" s="2039">
        <v>2561134</v>
      </c>
      <c r="D5" s="2140">
        <f>C5*30.126/1000</f>
        <v>77156.722884</v>
      </c>
      <c r="E5" s="2037">
        <v>3406965</v>
      </c>
      <c r="F5" s="2038">
        <f>E5*30.126/1000</f>
        <v>102638.22759000001</v>
      </c>
      <c r="G5" s="2134">
        <v>265551</v>
      </c>
      <c r="H5" s="2039">
        <f>G5*30.126/1000</f>
        <v>7999.989426</v>
      </c>
      <c r="I5" s="2039">
        <v>265551</v>
      </c>
      <c r="J5" s="2040">
        <f>I5*30.126/1000</f>
        <v>7999.989426</v>
      </c>
    </row>
    <row r="6" spans="1:10" ht="19.5" customHeight="1">
      <c r="A6" s="2031"/>
      <c r="B6" s="2129" t="s">
        <v>812</v>
      </c>
      <c r="C6" s="2039">
        <v>413563</v>
      </c>
      <c r="D6" s="2140">
        <f>C6*30.126/1000</f>
        <v>12458.998938</v>
      </c>
      <c r="E6" s="2037">
        <v>0</v>
      </c>
      <c r="F6" s="2038">
        <f>E6*30.126/1000</f>
        <v>0</v>
      </c>
      <c r="G6" s="2134">
        <v>0</v>
      </c>
      <c r="H6" s="2039">
        <f>G6*30.126/1000</f>
        <v>0</v>
      </c>
      <c r="I6" s="2039">
        <v>0</v>
      </c>
      <c r="J6" s="2040">
        <f>I6*30.126/1000</f>
        <v>0</v>
      </c>
    </row>
    <row r="7" spans="1:10" ht="19.5" customHeight="1">
      <c r="A7" s="2031"/>
      <c r="B7" s="2129" t="s">
        <v>813</v>
      </c>
      <c r="C7" s="2039">
        <v>66386</v>
      </c>
      <c r="D7" s="2140">
        <f>C7*30.126/1000</f>
        <v>1999.9446360000002</v>
      </c>
      <c r="E7" s="2037">
        <v>29874</v>
      </c>
      <c r="F7" s="2038">
        <f>E7*30.126/1000</f>
        <v>899.9841240000001</v>
      </c>
      <c r="G7" s="2134">
        <v>0</v>
      </c>
      <c r="H7" s="2039">
        <f>G7*30.126/1000</f>
        <v>0</v>
      </c>
      <c r="I7" s="2039">
        <v>0</v>
      </c>
      <c r="J7" s="2040">
        <f>I7*30.126/1000</f>
        <v>0</v>
      </c>
    </row>
    <row r="8" spans="1:10" s="406" customFormat="1" ht="19.5" customHeight="1">
      <c r="A8" s="2030"/>
      <c r="B8" s="2130" t="s">
        <v>814</v>
      </c>
      <c r="C8" s="2042">
        <v>238904</v>
      </c>
      <c r="D8" s="2141">
        <f>C8*30.126/1000</f>
        <v>7197.221904</v>
      </c>
      <c r="E8" s="2041">
        <v>0</v>
      </c>
      <c r="F8" s="2043">
        <f>E8*30.126/1000</f>
        <v>0</v>
      </c>
      <c r="G8" s="2135">
        <v>0</v>
      </c>
      <c r="H8" s="2042">
        <f>G8*30.126/1000</f>
        <v>0</v>
      </c>
      <c r="I8" s="2042">
        <v>0</v>
      </c>
      <c r="J8" s="2044">
        <f>I8*30.126/1000</f>
        <v>0</v>
      </c>
    </row>
    <row r="9" spans="1:10" s="406" customFormat="1" ht="19.5" customHeight="1">
      <c r="A9" s="2030"/>
      <c r="B9" s="2130" t="s">
        <v>815</v>
      </c>
      <c r="C9" s="2042">
        <f>C10</f>
        <v>3319392</v>
      </c>
      <c r="D9" s="2141">
        <f aca="true" t="shared" si="1" ref="D9:J9">D10</f>
        <v>100000.003392</v>
      </c>
      <c r="E9" s="2041">
        <f t="shared" si="1"/>
        <v>2902330</v>
      </c>
      <c r="F9" s="2043">
        <f t="shared" si="1"/>
        <v>87434</v>
      </c>
      <c r="G9" s="2135">
        <f t="shared" si="1"/>
        <v>3426827</v>
      </c>
      <c r="H9" s="2042">
        <f t="shared" si="1"/>
        <v>103237</v>
      </c>
      <c r="I9" s="2042">
        <f t="shared" si="1"/>
        <v>1204647</v>
      </c>
      <c r="J9" s="2044">
        <f t="shared" si="1"/>
        <v>36291</v>
      </c>
    </row>
    <row r="10" spans="1:10" ht="19.5" customHeight="1">
      <c r="A10" s="2031"/>
      <c r="B10" s="2131" t="s">
        <v>816</v>
      </c>
      <c r="C10" s="2047">
        <v>3319392</v>
      </c>
      <c r="D10" s="2142">
        <f>C10*30.126/1000</f>
        <v>100000.003392</v>
      </c>
      <c r="E10" s="2045">
        <v>2902330</v>
      </c>
      <c r="F10" s="2038">
        <v>87434</v>
      </c>
      <c r="G10" s="2136">
        <v>3426827</v>
      </c>
      <c r="H10" s="2047">
        <v>103237</v>
      </c>
      <c r="I10" s="2047">
        <v>1204647</v>
      </c>
      <c r="J10" s="2048">
        <v>36291</v>
      </c>
    </row>
    <row r="11" spans="1:10" s="406" customFormat="1" ht="19.5" customHeight="1">
      <c r="A11" s="2187" t="s">
        <v>796</v>
      </c>
      <c r="B11" s="2188" t="s">
        <v>817</v>
      </c>
      <c r="C11" s="2166">
        <f>C12</f>
        <v>1327757</v>
      </c>
      <c r="D11" s="2167">
        <f aca="true" t="shared" si="2" ref="D11:J11">D12</f>
        <v>40000.007381999996</v>
      </c>
      <c r="E11" s="2168">
        <f t="shared" si="2"/>
        <v>1462590</v>
      </c>
      <c r="F11" s="2169">
        <f t="shared" si="2"/>
        <v>44061.98634</v>
      </c>
      <c r="G11" s="2170">
        <f t="shared" si="2"/>
        <v>1388700</v>
      </c>
      <c r="H11" s="2166">
        <f t="shared" si="2"/>
        <v>41835.976200000005</v>
      </c>
      <c r="I11" s="2166">
        <f t="shared" si="2"/>
        <v>1363009</v>
      </c>
      <c r="J11" s="2171">
        <f t="shared" si="2"/>
        <v>41062.009134</v>
      </c>
    </row>
    <row r="12" spans="1:10" s="390" customFormat="1" ht="19.5" customHeight="1" thickBot="1">
      <c r="A12" s="2032"/>
      <c r="B12" s="2132" t="s">
        <v>818</v>
      </c>
      <c r="C12" s="2055">
        <v>1327757</v>
      </c>
      <c r="D12" s="2144">
        <f>C12*30.126/1000</f>
        <v>40000.007381999996</v>
      </c>
      <c r="E12" s="2053">
        <v>1462590</v>
      </c>
      <c r="F12" s="2054">
        <f>E12*30.126/1000</f>
        <v>44061.98634</v>
      </c>
      <c r="G12" s="2138">
        <v>1388700</v>
      </c>
      <c r="H12" s="2055">
        <f>G12*30.126/1000</f>
        <v>41835.976200000005</v>
      </c>
      <c r="I12" s="2055">
        <v>1363009</v>
      </c>
      <c r="J12" s="2056">
        <f>I12*30.126/1000</f>
        <v>41062.009134</v>
      </c>
    </row>
  </sheetData>
  <sheetProtection/>
  <mergeCells count="5">
    <mergeCell ref="G1:H1"/>
    <mergeCell ref="I1:J1"/>
    <mergeCell ref="A1:B2"/>
    <mergeCell ref="C1:D1"/>
    <mergeCell ref="E1:F1"/>
  </mergeCells>
  <printOptions horizontalCentered="1"/>
  <pageMargins left="0" right="0.7874015748031497" top="1.1811023622047245" bottom="0.1968503937007874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="90" zoomScaleNormal="90" zoomScalePageLayoutView="0" workbookViewId="0" topLeftCell="A1">
      <selection activeCell="H22" sqref="H22"/>
    </sheetView>
  </sheetViews>
  <sheetFormatPr defaultColWidth="9.140625" defaultRowHeight="12.75"/>
  <cols>
    <col min="1" max="1" width="39.00390625" style="0" customWidth="1"/>
    <col min="2" max="9" width="12.7109375" style="0" customWidth="1"/>
  </cols>
  <sheetData>
    <row r="1" ht="30.75" customHeight="1" thickBot="1"/>
    <row r="2" spans="1:9" ht="39.75" customHeight="1" thickTop="1">
      <c r="A2" s="3031" t="s">
        <v>819</v>
      </c>
      <c r="B2" s="3012" t="s">
        <v>761</v>
      </c>
      <c r="C2" s="3023"/>
      <c r="D2" s="2859" t="s">
        <v>183</v>
      </c>
      <c r="E2" s="2860"/>
      <c r="F2" s="2865" t="s">
        <v>725</v>
      </c>
      <c r="G2" s="2863"/>
      <c r="H2" s="2863" t="s">
        <v>726</v>
      </c>
      <c r="I2" s="2864"/>
    </row>
    <row r="3" spans="1:9" ht="15" customHeight="1" thickBot="1">
      <c r="A3" s="3032"/>
      <c r="B3" s="1965" t="s">
        <v>435</v>
      </c>
      <c r="C3" s="2103" t="s">
        <v>966</v>
      </c>
      <c r="D3" s="1963" t="s">
        <v>435</v>
      </c>
      <c r="E3" s="1964" t="s">
        <v>966</v>
      </c>
      <c r="F3" s="2097" t="s">
        <v>435</v>
      </c>
      <c r="G3" s="1965" t="s">
        <v>966</v>
      </c>
      <c r="H3" s="1965" t="s">
        <v>435</v>
      </c>
      <c r="I3" s="1966" t="s">
        <v>966</v>
      </c>
    </row>
    <row r="4" spans="1:9" s="390" customFormat="1" ht="19.5" customHeight="1">
      <c r="A4" s="2145" t="s">
        <v>876</v>
      </c>
      <c r="B4" s="2079">
        <f>'Príjmy final'!H152</f>
        <v>35601578</v>
      </c>
      <c r="C4" s="2159">
        <f>'Príjmy final'!I152</f>
        <v>1072533.1388280003</v>
      </c>
      <c r="D4" s="2077">
        <f>'Príjmy final'!J152</f>
        <v>32285866</v>
      </c>
      <c r="E4" s="2078">
        <f>'Príjmy final'!K152</f>
        <v>972643.9991160001</v>
      </c>
      <c r="F4" s="2153">
        <f>'Príjmy final'!L152</f>
        <v>34062552.39255129</v>
      </c>
      <c r="G4" s="2079">
        <f>'Príjmy final'!M152</f>
        <v>1026168.453378</v>
      </c>
      <c r="H4" s="2079">
        <f>'Príjmy final'!N152</f>
        <v>35849878.40403638</v>
      </c>
      <c r="I4" s="2080">
        <f>'Príjmy final'!O152</f>
        <v>1080013.4368</v>
      </c>
    </row>
    <row r="5" spans="1:9" s="390" customFormat="1" ht="19.5" customHeight="1">
      <c r="A5" s="2146" t="s">
        <v>877</v>
      </c>
      <c r="B5" s="2067">
        <f>'Príjmy final'!H153</f>
        <v>2005677</v>
      </c>
      <c r="C5" s="2160">
        <f>'Príjmy final'!I153</f>
        <v>60423.025302</v>
      </c>
      <c r="D5" s="2065">
        <f>'Príjmy final'!J153</f>
        <v>14572160</v>
      </c>
      <c r="E5" s="2066">
        <f>'Príjmy final'!K153</f>
        <v>439000.89216</v>
      </c>
      <c r="F5" s="2154">
        <f>'Príjmy final'!L153</f>
        <v>9648888</v>
      </c>
      <c r="G5" s="2067">
        <f>'Príjmy final'!M153</f>
        <v>290682.399888</v>
      </c>
      <c r="H5" s="2067">
        <f>'Príjmy final'!N153</f>
        <v>2002360</v>
      </c>
      <c r="I5" s="2068">
        <f>'Príjmy final'!O153</f>
        <v>60323.09736</v>
      </c>
    </row>
    <row r="6" spans="1:9" s="406" customFormat="1" ht="24.75" customHeight="1">
      <c r="A6" s="2147" t="s">
        <v>820</v>
      </c>
      <c r="B6" s="2051">
        <f>B4+B5</f>
        <v>37607255</v>
      </c>
      <c r="C6" s="2143">
        <f aca="true" t="shared" si="0" ref="C6:I6">C4+C5</f>
        <v>1132956.1641300004</v>
      </c>
      <c r="D6" s="2049">
        <f t="shared" si="0"/>
        <v>46858026</v>
      </c>
      <c r="E6" s="2050">
        <f t="shared" si="0"/>
        <v>1411644.891276</v>
      </c>
      <c r="F6" s="2137">
        <f t="shared" si="0"/>
        <v>43711440.39255129</v>
      </c>
      <c r="G6" s="2051">
        <f t="shared" si="0"/>
        <v>1316850.8532659998</v>
      </c>
      <c r="H6" s="2051">
        <f t="shared" si="0"/>
        <v>37852238.40403638</v>
      </c>
      <c r="I6" s="2052">
        <f t="shared" si="0"/>
        <v>1140336.53416</v>
      </c>
    </row>
    <row r="7" spans="1:9" s="390" customFormat="1" ht="19.5" customHeight="1">
      <c r="A7" s="2148" t="s">
        <v>810</v>
      </c>
      <c r="B7" s="2075">
        <f>'finančné operácie final'!C3</f>
        <v>6599379</v>
      </c>
      <c r="C7" s="2161">
        <f>'finančné operácie final'!D3</f>
        <v>198812.891754</v>
      </c>
      <c r="D7" s="2073">
        <f>'finančné operácie final'!E3</f>
        <v>6339169</v>
      </c>
      <c r="E7" s="2074">
        <f>'finančné operácie final'!F3</f>
        <v>190972.211714</v>
      </c>
      <c r="F7" s="2155">
        <f>'finančné operácie final'!G3</f>
        <v>3692378</v>
      </c>
      <c r="G7" s="2075">
        <f>'finančné operácie final'!H3</f>
        <v>111236.989426</v>
      </c>
      <c r="H7" s="2075">
        <f>'finančné operácie final'!I3</f>
        <v>1470198</v>
      </c>
      <c r="I7" s="2076">
        <f>'finančné operácie final'!J3</f>
        <v>44290.989426</v>
      </c>
    </row>
    <row r="8" spans="1:9" s="406" customFormat="1" ht="24.75" customHeight="1">
      <c r="A8" s="2165" t="s">
        <v>821</v>
      </c>
      <c r="B8" s="2166">
        <f>B6+B7</f>
        <v>44206634</v>
      </c>
      <c r="C8" s="2167">
        <f aca="true" t="shared" si="1" ref="C8:I8">C6+C7</f>
        <v>1331769.0558840004</v>
      </c>
      <c r="D8" s="2168">
        <f t="shared" si="1"/>
        <v>53197195</v>
      </c>
      <c r="E8" s="2169">
        <f t="shared" si="1"/>
        <v>1602617.10299</v>
      </c>
      <c r="F8" s="2170">
        <f t="shared" si="1"/>
        <v>47403818.39255129</v>
      </c>
      <c r="G8" s="2166">
        <f t="shared" si="1"/>
        <v>1428087.8426919999</v>
      </c>
      <c r="H8" s="2166">
        <f t="shared" si="1"/>
        <v>39322436.40403638</v>
      </c>
      <c r="I8" s="2171">
        <f t="shared" si="1"/>
        <v>1184627.523586</v>
      </c>
    </row>
    <row r="9" spans="1:9" s="390" customFormat="1" ht="19.5" customHeight="1">
      <c r="A9" s="2149" t="s">
        <v>965</v>
      </c>
      <c r="B9" s="2059">
        <f>'Sumár výdavky final'!C64</f>
        <v>32456667</v>
      </c>
      <c r="C9" s="2162">
        <f>'Sumár výdavky final'!D64</f>
        <v>977789.6072540001</v>
      </c>
      <c r="D9" s="2057">
        <f>'Sumár výdavky final'!E64</f>
        <v>31593989</v>
      </c>
      <c r="E9" s="2058">
        <f>SUM('Sumár výdavky final'!F64)</f>
        <v>951799.3386319999</v>
      </c>
      <c r="F9" s="2156">
        <f>'Sumár výdavky final'!G64</f>
        <v>31424569</v>
      </c>
      <c r="G9" s="2059">
        <f>'Sumár výdavky final'!H64</f>
        <v>946696.5656939999</v>
      </c>
      <c r="H9" s="2059">
        <f>'Sumár výdavky final'!I64</f>
        <v>31343496</v>
      </c>
      <c r="I9" s="2060">
        <f>'Sumár výdavky final'!J64</f>
        <v>944254.160496</v>
      </c>
    </row>
    <row r="10" spans="1:9" s="390" customFormat="1" ht="19.5" customHeight="1">
      <c r="A10" s="2150" t="s">
        <v>967</v>
      </c>
      <c r="B10" s="2071">
        <f>'Sumár výdavky final'!C65</f>
        <v>10422210</v>
      </c>
      <c r="C10" s="2163">
        <f>'Sumár výdavky final'!D65</f>
        <v>313979.211586</v>
      </c>
      <c r="D10" s="2069">
        <f>'Sumár výdavky final'!E65</f>
        <v>20140616</v>
      </c>
      <c r="E10" s="2070">
        <f>'Sumár výdavky final'!F65</f>
        <v>606756.1738</v>
      </c>
      <c r="F10" s="2157">
        <f>'Sumár výdavky final'!G65</f>
        <v>14590549</v>
      </c>
      <c r="G10" s="2071">
        <f>'Sumár výdavky final'!H65</f>
        <v>439554.8791740001</v>
      </c>
      <c r="H10" s="2071">
        <f>'Sumár výdavky final'!I65</f>
        <v>6615931</v>
      </c>
      <c r="I10" s="2072">
        <f>'Sumár výdavky final'!J65</f>
        <v>199311.537306</v>
      </c>
    </row>
    <row r="11" spans="1:9" s="406" customFormat="1" ht="24.75" customHeight="1">
      <c r="A11" s="2147" t="s">
        <v>822</v>
      </c>
      <c r="B11" s="2051">
        <f>B9+B10</f>
        <v>42878877</v>
      </c>
      <c r="C11" s="2143">
        <f aca="true" t="shared" si="2" ref="C11:I11">C9+C10</f>
        <v>1291768.81884</v>
      </c>
      <c r="D11" s="2049">
        <f t="shared" si="2"/>
        <v>51734605</v>
      </c>
      <c r="E11" s="2050">
        <f t="shared" si="2"/>
        <v>1558555.512432</v>
      </c>
      <c r="F11" s="2137">
        <f t="shared" si="2"/>
        <v>46015118</v>
      </c>
      <c r="G11" s="2051">
        <f t="shared" si="2"/>
        <v>1386251.444868</v>
      </c>
      <c r="H11" s="2051">
        <f t="shared" si="2"/>
        <v>37959427</v>
      </c>
      <c r="I11" s="2052">
        <f t="shared" si="2"/>
        <v>1143565.697802</v>
      </c>
    </row>
    <row r="12" spans="1:9" s="390" customFormat="1" ht="19.5" customHeight="1">
      <c r="A12" s="2148" t="s">
        <v>817</v>
      </c>
      <c r="B12" s="2075">
        <f>'finančné operácie final'!C11</f>
        <v>1327757</v>
      </c>
      <c r="C12" s="2161">
        <f>'finančné operácie final'!D11</f>
        <v>40000.007381999996</v>
      </c>
      <c r="D12" s="2073">
        <f>'finančné operácie final'!E11</f>
        <v>1462590</v>
      </c>
      <c r="E12" s="2074">
        <f>'finančné operácie final'!F11</f>
        <v>44061.98634</v>
      </c>
      <c r="F12" s="2155">
        <f>'finančné operácie final'!G11</f>
        <v>1388700</v>
      </c>
      <c r="G12" s="2075">
        <f>'finančné operácie final'!H11</f>
        <v>41835.976200000005</v>
      </c>
      <c r="H12" s="2075">
        <f>'finančné operácie final'!I11</f>
        <v>1363009</v>
      </c>
      <c r="I12" s="2076">
        <f>'finančné operácie final'!J11</f>
        <v>41062.009134</v>
      </c>
    </row>
    <row r="13" spans="1:9" s="406" customFormat="1" ht="24.75" customHeight="1">
      <c r="A13" s="2165" t="s">
        <v>823</v>
      </c>
      <c r="B13" s="2166">
        <f>B11+B12</f>
        <v>44206634</v>
      </c>
      <c r="C13" s="2167">
        <f aca="true" t="shared" si="3" ref="C13:I13">C11+C12</f>
        <v>1331768.8262220002</v>
      </c>
      <c r="D13" s="2168">
        <f t="shared" si="3"/>
        <v>53197195</v>
      </c>
      <c r="E13" s="2169">
        <f t="shared" si="3"/>
        <v>1602617.498772</v>
      </c>
      <c r="F13" s="2170">
        <f t="shared" si="3"/>
        <v>47403818</v>
      </c>
      <c r="G13" s="2166">
        <f t="shared" si="3"/>
        <v>1428087.421068</v>
      </c>
      <c r="H13" s="2166">
        <f t="shared" si="3"/>
        <v>39322436</v>
      </c>
      <c r="I13" s="2171">
        <f t="shared" si="3"/>
        <v>1184627.706936</v>
      </c>
    </row>
    <row r="14" spans="1:9" s="390" customFormat="1" ht="19.5" customHeight="1">
      <c r="A14" s="2149" t="s">
        <v>824</v>
      </c>
      <c r="B14" s="2059">
        <f>B4-B9</f>
        <v>3144911</v>
      </c>
      <c r="C14" s="2162">
        <f aca="true" t="shared" si="4" ref="C14:I14">C4-C9</f>
        <v>94743.53157400014</v>
      </c>
      <c r="D14" s="2057">
        <f t="shared" si="4"/>
        <v>691877</v>
      </c>
      <c r="E14" s="2058">
        <f t="shared" si="4"/>
        <v>20844.660484000226</v>
      </c>
      <c r="F14" s="2156">
        <f t="shared" si="4"/>
        <v>2637983.392551288</v>
      </c>
      <c r="G14" s="2059">
        <f t="shared" si="4"/>
        <v>79471.88768400007</v>
      </c>
      <c r="H14" s="2059">
        <f t="shared" si="4"/>
        <v>4506382.40403638</v>
      </c>
      <c r="I14" s="2060">
        <f t="shared" si="4"/>
        <v>135759.27630400006</v>
      </c>
    </row>
    <row r="15" spans="1:9" s="390" customFormat="1" ht="19.5" customHeight="1">
      <c r="A15" s="2151" t="s">
        <v>825</v>
      </c>
      <c r="B15" s="2063">
        <f>B5-B10</f>
        <v>-8416533</v>
      </c>
      <c r="C15" s="2164">
        <f aca="true" t="shared" si="5" ref="C15:I15">C5-C10</f>
        <v>-253556.186284</v>
      </c>
      <c r="D15" s="2061">
        <f t="shared" si="5"/>
        <v>-5568456</v>
      </c>
      <c r="E15" s="2062">
        <f t="shared" si="5"/>
        <v>-167755.28164</v>
      </c>
      <c r="F15" s="2158">
        <f t="shared" si="5"/>
        <v>-4941661</v>
      </c>
      <c r="G15" s="2063">
        <f t="shared" si="5"/>
        <v>-148872.47928600013</v>
      </c>
      <c r="H15" s="2063">
        <f t="shared" si="5"/>
        <v>-4613571</v>
      </c>
      <c r="I15" s="2064">
        <f t="shared" si="5"/>
        <v>-138988.439946</v>
      </c>
    </row>
    <row r="16" spans="1:9" ht="19.5" customHeight="1">
      <c r="A16" s="2152" t="s">
        <v>878</v>
      </c>
      <c r="B16" s="2047">
        <f>B7-B12</f>
        <v>5271622</v>
      </c>
      <c r="C16" s="2142">
        <f aca="true" t="shared" si="6" ref="C16:I16">C7-C12</f>
        <v>158812.884372</v>
      </c>
      <c r="D16" s="2045">
        <f t="shared" si="6"/>
        <v>4876579</v>
      </c>
      <c r="E16" s="2046">
        <f t="shared" si="6"/>
        <v>146910.225374</v>
      </c>
      <c r="F16" s="2136">
        <f t="shared" si="6"/>
        <v>2303678</v>
      </c>
      <c r="G16" s="2047">
        <f t="shared" si="6"/>
        <v>69401.013226</v>
      </c>
      <c r="H16" s="2047">
        <f t="shared" si="6"/>
        <v>107189</v>
      </c>
      <c r="I16" s="2048">
        <f t="shared" si="6"/>
        <v>3228.980292</v>
      </c>
    </row>
    <row r="17" spans="1:9" s="406" customFormat="1" ht="24.75" customHeight="1" thickBot="1">
      <c r="A17" s="2172" t="s">
        <v>826</v>
      </c>
      <c r="B17" s="2173">
        <f>SUM(B14:B16)</f>
        <v>0</v>
      </c>
      <c r="C17" s="2174">
        <f aca="true" t="shared" si="7" ref="C17:I17">SUM(C14:C16)</f>
        <v>0.22966200014343485</v>
      </c>
      <c r="D17" s="2175">
        <f t="shared" si="7"/>
        <v>0</v>
      </c>
      <c r="E17" s="2176">
        <f t="shared" si="7"/>
        <v>-0.3957819997740444</v>
      </c>
      <c r="F17" s="2177">
        <f t="shared" si="7"/>
        <v>0.3925512880086899</v>
      </c>
      <c r="G17" s="2173">
        <f t="shared" si="7"/>
        <v>0.4216239999368554</v>
      </c>
      <c r="H17" s="2173">
        <f t="shared" si="7"/>
        <v>0.40403638035058975</v>
      </c>
      <c r="I17" s="2178">
        <f t="shared" si="7"/>
        <v>-0.18334999994112877</v>
      </c>
    </row>
  </sheetData>
  <sheetProtection/>
  <mergeCells count="5">
    <mergeCell ref="H2:I2"/>
    <mergeCell ref="A2:A3"/>
    <mergeCell ref="B2:C2"/>
    <mergeCell ref="D2:E2"/>
    <mergeCell ref="F2:G2"/>
  </mergeCells>
  <printOptions horizontalCentered="1"/>
  <pageMargins left="1.05" right="0.7874015748031497" top="1.1811023622047245" bottom="0.1968503937007874" header="0.18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V653"/>
  <sheetViews>
    <sheetView showGridLines="0" zoomScalePageLayoutView="0" workbookViewId="0" topLeftCell="A1">
      <pane xSplit="2" ySplit="3" topLeftCell="E13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63" sqref="R63"/>
    </sheetView>
  </sheetViews>
  <sheetFormatPr defaultColWidth="9.140625" defaultRowHeight="12.75"/>
  <cols>
    <col min="1" max="1" width="7.7109375" style="76" customWidth="1"/>
    <col min="2" max="2" width="70.7109375" style="1" customWidth="1"/>
    <col min="3" max="4" width="10.7109375" style="1" hidden="1" customWidth="1"/>
    <col min="5" max="6" width="10.7109375" style="2" customWidth="1"/>
    <col min="7" max="16" width="10.7109375" style="2" hidden="1" customWidth="1"/>
    <col min="17" max="22" width="10.7109375" style="2" customWidth="1"/>
    <col min="23" max="16384" width="9.140625" style="1" customWidth="1"/>
  </cols>
  <sheetData>
    <row r="1" ht="19.5" customHeight="1" hidden="1" thickBot="1">
      <c r="A1" s="237" t="s">
        <v>1122</v>
      </c>
    </row>
    <row r="2" spans="1:22" s="23" customFormat="1" ht="39.75" customHeight="1" thickTop="1">
      <c r="A2" s="2842"/>
      <c r="B2" s="2843"/>
      <c r="C2" s="776" t="s">
        <v>506</v>
      </c>
      <c r="D2" s="452" t="s">
        <v>507</v>
      </c>
      <c r="E2" s="2839" t="s">
        <v>182</v>
      </c>
      <c r="F2" s="2840"/>
      <c r="G2" s="460" t="s">
        <v>510</v>
      </c>
      <c r="H2" s="473" t="s">
        <v>510</v>
      </c>
      <c r="I2" s="474" t="s">
        <v>87</v>
      </c>
      <c r="J2" s="474" t="s">
        <v>87</v>
      </c>
      <c r="K2" s="2871" t="s">
        <v>509</v>
      </c>
      <c r="L2" s="2871"/>
      <c r="M2" s="2871" t="s">
        <v>508</v>
      </c>
      <c r="N2" s="2871"/>
      <c r="O2" s="475" t="s">
        <v>952</v>
      </c>
      <c r="P2" s="767" t="s">
        <v>952</v>
      </c>
      <c r="Q2" s="2859" t="s">
        <v>183</v>
      </c>
      <c r="R2" s="2860"/>
      <c r="S2" s="2865" t="s">
        <v>725</v>
      </c>
      <c r="T2" s="2863"/>
      <c r="U2" s="2863" t="s">
        <v>726</v>
      </c>
      <c r="V2" s="2864"/>
    </row>
    <row r="3" spans="1:22" s="24" customFormat="1" ht="15" customHeight="1" thickBot="1">
      <c r="A3" s="2844"/>
      <c r="B3" s="2845"/>
      <c r="C3" s="777" t="s">
        <v>966</v>
      </c>
      <c r="D3" s="453" t="s">
        <v>966</v>
      </c>
      <c r="E3" s="2318" t="s">
        <v>435</v>
      </c>
      <c r="F3" s="2234" t="s">
        <v>966</v>
      </c>
      <c r="G3" s="461" t="s">
        <v>435</v>
      </c>
      <c r="H3" s="346" t="s">
        <v>966</v>
      </c>
      <c r="I3" s="450" t="s">
        <v>435</v>
      </c>
      <c r="J3" s="450" t="s">
        <v>966</v>
      </c>
      <c r="K3" s="239" t="s">
        <v>435</v>
      </c>
      <c r="L3" s="239" t="s">
        <v>966</v>
      </c>
      <c r="M3" s="239" t="s">
        <v>435</v>
      </c>
      <c r="N3" s="239" t="s">
        <v>966</v>
      </c>
      <c r="O3" s="451" t="s">
        <v>435</v>
      </c>
      <c r="P3" s="765" t="s">
        <v>966</v>
      </c>
      <c r="Q3" s="238" t="s">
        <v>435</v>
      </c>
      <c r="R3" s="993" t="s">
        <v>966</v>
      </c>
      <c r="S3" s="2117" t="s">
        <v>435</v>
      </c>
      <c r="T3" s="239" t="s">
        <v>966</v>
      </c>
      <c r="U3" s="239" t="s">
        <v>435</v>
      </c>
      <c r="V3" s="307" t="s">
        <v>966</v>
      </c>
    </row>
    <row r="4" spans="1:22" s="23" customFormat="1" ht="19.5" customHeight="1">
      <c r="A4" s="110" t="s">
        <v>347</v>
      </c>
      <c r="B4" s="785" t="s">
        <v>1166</v>
      </c>
      <c r="C4" s="778">
        <f>C5+C119</f>
        <v>52211</v>
      </c>
      <c r="D4" s="454">
        <f>D5+D119</f>
        <v>127695</v>
      </c>
      <c r="E4" s="1518">
        <f>E5+E119</f>
        <v>6897747</v>
      </c>
      <c r="F4" s="1515">
        <f aca="true" t="shared" si="0" ref="F4:N4">F5+F119</f>
        <v>207801.22817800002</v>
      </c>
      <c r="G4" s="462">
        <f t="shared" si="0"/>
        <v>3904033</v>
      </c>
      <c r="H4" s="468">
        <f t="shared" si="0"/>
        <v>117612.89815800003</v>
      </c>
      <c r="I4" s="330">
        <f t="shared" si="0"/>
        <v>3870101</v>
      </c>
      <c r="J4" s="330">
        <f t="shared" si="0"/>
        <v>116590.66272600001</v>
      </c>
      <c r="K4" s="330">
        <f t="shared" si="0"/>
        <v>3643000</v>
      </c>
      <c r="L4" s="330">
        <f t="shared" si="0"/>
        <v>109749.01800000001</v>
      </c>
      <c r="M4" s="330">
        <f t="shared" si="0"/>
        <v>0</v>
      </c>
      <c r="N4" s="330">
        <f t="shared" si="0"/>
        <v>0</v>
      </c>
      <c r="O4" s="330">
        <f aca="true" t="shared" si="1" ref="O4:V4">O5+O119</f>
        <v>3836907</v>
      </c>
      <c r="P4" s="766">
        <f t="shared" si="1"/>
        <v>115590.660282</v>
      </c>
      <c r="Q4" s="468">
        <f t="shared" si="1"/>
        <v>4053324</v>
      </c>
      <c r="R4" s="310">
        <f t="shared" si="1"/>
        <v>122110.43882400001</v>
      </c>
      <c r="S4" s="462">
        <f t="shared" si="1"/>
        <v>3754324</v>
      </c>
      <c r="T4" s="766">
        <f t="shared" si="1"/>
        <v>113102.76482400001</v>
      </c>
      <c r="U4" s="766">
        <f t="shared" si="1"/>
        <v>3754324</v>
      </c>
      <c r="V4" s="478">
        <f t="shared" si="1"/>
        <v>113102.76482400001</v>
      </c>
    </row>
    <row r="5" spans="1:22" s="30" customFormat="1" ht="19.5" customHeight="1">
      <c r="A5" s="111" t="s">
        <v>1167</v>
      </c>
      <c r="B5" s="786" t="s">
        <v>1192</v>
      </c>
      <c r="C5" s="779">
        <f>C6+C32</f>
        <v>36532</v>
      </c>
      <c r="D5" s="455">
        <f>D6+D32</f>
        <v>101648</v>
      </c>
      <c r="E5" s="875">
        <f>E6+E32</f>
        <v>6011469</v>
      </c>
      <c r="F5" s="1516">
        <f aca="true" t="shared" si="2" ref="F5:N5">F6+F32</f>
        <v>181101.22817800002</v>
      </c>
      <c r="G5" s="463">
        <f t="shared" si="2"/>
        <v>3040991</v>
      </c>
      <c r="H5" s="447">
        <f t="shared" si="2"/>
        <v>91612.89486600002</v>
      </c>
      <c r="I5" s="28">
        <f t="shared" si="2"/>
        <v>3007059</v>
      </c>
      <c r="J5" s="28">
        <f t="shared" si="2"/>
        <v>90590.659434</v>
      </c>
      <c r="K5" s="28">
        <f t="shared" si="2"/>
        <v>3643000</v>
      </c>
      <c r="L5" s="28">
        <f t="shared" si="2"/>
        <v>109749.01800000001</v>
      </c>
      <c r="M5" s="28">
        <f t="shared" si="2"/>
        <v>0</v>
      </c>
      <c r="N5" s="28">
        <f t="shared" si="2"/>
        <v>0</v>
      </c>
      <c r="O5" s="28">
        <f aca="true" t="shared" si="3" ref="O5:V5">O6+O32</f>
        <v>2973865</v>
      </c>
      <c r="P5" s="455">
        <f t="shared" si="3"/>
        <v>89590.65699</v>
      </c>
      <c r="Q5" s="19">
        <f t="shared" si="3"/>
        <v>3190282</v>
      </c>
      <c r="R5" s="17">
        <f t="shared" si="3"/>
        <v>96110.435532</v>
      </c>
      <c r="S5" s="913">
        <f t="shared" si="3"/>
        <v>2891282</v>
      </c>
      <c r="T5" s="455">
        <f t="shared" si="3"/>
        <v>87102.761532</v>
      </c>
      <c r="U5" s="455">
        <f t="shared" si="3"/>
        <v>2891282</v>
      </c>
      <c r="V5" s="479">
        <f t="shared" si="3"/>
        <v>87102.761532</v>
      </c>
    </row>
    <row r="6" spans="1:22" s="30" customFormat="1" ht="19.5" customHeight="1">
      <c r="A6" s="112" t="s">
        <v>1168</v>
      </c>
      <c r="B6" s="787" t="s">
        <v>965</v>
      </c>
      <c r="C6" s="780">
        <f>C7+C14+C23+C25+C27+C30+C31</f>
        <v>13555</v>
      </c>
      <c r="D6" s="456">
        <f>D7+D14+D23+D25+D27+D30+D31</f>
        <v>25008</v>
      </c>
      <c r="E6" s="245">
        <f>E7+E14+E23+E25+E27+E30+E31</f>
        <v>555997</v>
      </c>
      <c r="F6" s="1517">
        <f aca="true" t="shared" si="4" ref="F6:N6">F7+F14+F23+F25+F27+F30+F31</f>
        <v>16750.0224</v>
      </c>
      <c r="G6" s="464">
        <f t="shared" si="4"/>
        <v>681884</v>
      </c>
      <c r="H6" s="20">
        <f t="shared" si="4"/>
        <v>20542.437384</v>
      </c>
      <c r="I6" s="29">
        <f t="shared" si="4"/>
        <v>645952</v>
      </c>
      <c r="J6" s="29">
        <f t="shared" si="4"/>
        <v>19459.949952</v>
      </c>
      <c r="K6" s="29">
        <f t="shared" si="4"/>
        <v>0</v>
      </c>
      <c r="L6" s="29">
        <f t="shared" si="4"/>
        <v>0</v>
      </c>
      <c r="M6" s="29">
        <f t="shared" si="4"/>
        <v>0</v>
      </c>
      <c r="N6" s="29">
        <f t="shared" si="4"/>
        <v>0</v>
      </c>
      <c r="O6" s="29">
        <f>O7+O14+O23+O25+O27+O30+O31</f>
        <v>612758</v>
      </c>
      <c r="P6" s="456">
        <f>P7+P14+P23+P25+P27+P30+P31</f>
        <v>18459.947508</v>
      </c>
      <c r="Q6" s="20">
        <f>Q7+Q14+Q23+Q25+Q27+Q30+Q31</f>
        <v>594355</v>
      </c>
      <c r="R6" s="18">
        <f>R7+R14+R23+R25+R27+R30+R31</f>
        <v>17905.53873</v>
      </c>
      <c r="S6" s="780">
        <v>594355</v>
      </c>
      <c r="T6" s="29">
        <f>S6*30.126/1000</f>
        <v>17905.53873</v>
      </c>
      <c r="U6" s="29">
        <v>594355</v>
      </c>
      <c r="V6" s="480">
        <f>U6*30.126/1000</f>
        <v>17905.53873</v>
      </c>
    </row>
    <row r="7" spans="1:22" s="30" customFormat="1" ht="15" customHeight="1">
      <c r="A7" s="152" t="s">
        <v>13</v>
      </c>
      <c r="B7" s="788" t="s">
        <v>1169</v>
      </c>
      <c r="C7" s="781">
        <f aca="true" t="shared" si="5" ref="C7:N7">SUM(C8:C13)</f>
        <v>445</v>
      </c>
      <c r="D7" s="457">
        <f t="shared" si="5"/>
        <v>2698</v>
      </c>
      <c r="E7" s="984">
        <f t="shared" si="5"/>
        <v>9958</v>
      </c>
      <c r="F7" s="259">
        <f t="shared" si="5"/>
        <v>299.994708</v>
      </c>
      <c r="G7" s="465">
        <f t="shared" si="5"/>
        <v>56474</v>
      </c>
      <c r="H7" s="469">
        <f t="shared" si="5"/>
        <v>1701.335724</v>
      </c>
      <c r="I7" s="47">
        <f t="shared" si="5"/>
        <v>56474</v>
      </c>
      <c r="J7" s="47">
        <f t="shared" si="5"/>
        <v>1701.335724</v>
      </c>
      <c r="K7" s="47">
        <f t="shared" si="5"/>
        <v>0</v>
      </c>
      <c r="L7" s="47">
        <f t="shared" si="5"/>
        <v>0</v>
      </c>
      <c r="M7" s="47">
        <f t="shared" si="5"/>
        <v>0</v>
      </c>
      <c r="N7" s="47">
        <f t="shared" si="5"/>
        <v>0</v>
      </c>
      <c r="O7" s="47">
        <f>SUM(O8:O13)</f>
        <v>23280</v>
      </c>
      <c r="P7" s="457">
        <f>SUM(P8:P13)</f>
        <v>701.3332800000001</v>
      </c>
      <c r="Q7" s="1225">
        <f>SUM(Q8:Q13)</f>
        <v>23280</v>
      </c>
      <c r="R7" s="46">
        <f>SUM(R8:R13)</f>
        <v>701.3332800000001</v>
      </c>
      <c r="S7" s="781"/>
      <c r="T7" s="47"/>
      <c r="U7" s="47"/>
      <c r="V7" s="185"/>
    </row>
    <row r="8" spans="1:22" s="30" customFormat="1" ht="15" customHeight="1">
      <c r="A8" s="154"/>
      <c r="B8" s="789" t="s">
        <v>412</v>
      </c>
      <c r="C8" s="782">
        <v>375</v>
      </c>
      <c r="D8" s="382">
        <v>265</v>
      </c>
      <c r="E8" s="985">
        <v>3319</v>
      </c>
      <c r="F8" s="986">
        <f>(E8*30.126)/1000</f>
        <v>99.98819400000001</v>
      </c>
      <c r="G8" s="446">
        <v>33194</v>
      </c>
      <c r="H8" s="470">
        <f>G8*30.126/1000</f>
        <v>1000.002444</v>
      </c>
      <c r="I8" s="9">
        <v>33194</v>
      </c>
      <c r="J8" s="9">
        <f aca="true" t="shared" si="6" ref="J8:J13">I8*30.126/1000</f>
        <v>1000.002444</v>
      </c>
      <c r="K8" s="9"/>
      <c r="L8" s="9"/>
      <c r="M8" s="9"/>
      <c r="N8" s="9"/>
      <c r="O8" s="9"/>
      <c r="P8" s="382"/>
      <c r="Q8" s="35"/>
      <c r="R8" s="8"/>
      <c r="S8" s="782"/>
      <c r="T8" s="9"/>
      <c r="U8" s="9"/>
      <c r="V8" s="139"/>
    </row>
    <row r="9" spans="1:22" s="30" customFormat="1" ht="15" customHeight="1">
      <c r="A9" s="116"/>
      <c r="B9" s="789" t="s">
        <v>1222</v>
      </c>
      <c r="C9" s="782"/>
      <c r="D9" s="382"/>
      <c r="E9" s="985">
        <v>6639</v>
      </c>
      <c r="F9" s="986">
        <f>(E9*30.126)/1000</f>
        <v>200.00651399999998</v>
      </c>
      <c r="G9" s="446">
        <v>10000</v>
      </c>
      <c r="H9" s="470">
        <f>G9*30.126/1000</f>
        <v>301.26</v>
      </c>
      <c r="I9" s="9">
        <v>10000</v>
      </c>
      <c r="J9" s="9">
        <f t="shared" si="6"/>
        <v>301.26</v>
      </c>
      <c r="K9" s="9"/>
      <c r="L9" s="9"/>
      <c r="M9" s="9"/>
      <c r="N9" s="9"/>
      <c r="O9" s="9">
        <v>10000</v>
      </c>
      <c r="P9" s="382">
        <f>O9*30.126/1000</f>
        <v>301.26</v>
      </c>
      <c r="Q9" s="35">
        <v>10000</v>
      </c>
      <c r="R9" s="8">
        <f>Q9*30.126/1000</f>
        <v>301.26</v>
      </c>
      <c r="S9" s="782"/>
      <c r="T9" s="9"/>
      <c r="U9" s="9"/>
      <c r="V9" s="139"/>
    </row>
    <row r="10" spans="1:22" s="30" customFormat="1" ht="15" customHeight="1">
      <c r="A10" s="116"/>
      <c r="B10" s="789" t="s">
        <v>511</v>
      </c>
      <c r="C10" s="782"/>
      <c r="D10" s="382"/>
      <c r="E10" s="985"/>
      <c r="F10" s="986"/>
      <c r="G10" s="446">
        <v>6640</v>
      </c>
      <c r="H10" s="470">
        <f>G10*30.126/1000</f>
        <v>200.03664</v>
      </c>
      <c r="I10" s="9">
        <v>6640</v>
      </c>
      <c r="J10" s="9">
        <f t="shared" si="6"/>
        <v>200.03664</v>
      </c>
      <c r="K10" s="9"/>
      <c r="L10" s="9"/>
      <c r="M10" s="9"/>
      <c r="N10" s="9"/>
      <c r="O10" s="9">
        <v>6640</v>
      </c>
      <c r="P10" s="382">
        <f>O10*30.126/1000</f>
        <v>200.03664</v>
      </c>
      <c r="Q10" s="35">
        <v>6640</v>
      </c>
      <c r="R10" s="8">
        <f>Q10*30.126/1000</f>
        <v>200.03664</v>
      </c>
      <c r="S10" s="782"/>
      <c r="T10" s="9"/>
      <c r="U10" s="9"/>
      <c r="V10" s="139"/>
    </row>
    <row r="11" spans="1:22" s="30" customFormat="1" ht="15" customHeight="1" hidden="1">
      <c r="A11" s="116"/>
      <c r="B11" s="789" t="s">
        <v>512</v>
      </c>
      <c r="C11" s="782">
        <v>70</v>
      </c>
      <c r="D11" s="382"/>
      <c r="E11" s="985"/>
      <c r="F11" s="986"/>
      <c r="G11" s="446"/>
      <c r="H11" s="470"/>
      <c r="I11" s="9"/>
      <c r="J11" s="9">
        <f t="shared" si="6"/>
        <v>0</v>
      </c>
      <c r="K11" s="9"/>
      <c r="L11" s="9"/>
      <c r="M11" s="9"/>
      <c r="N11" s="9"/>
      <c r="O11" s="9"/>
      <c r="P11" s="382">
        <f>O11*30.126/1000</f>
        <v>0</v>
      </c>
      <c r="Q11" s="35"/>
      <c r="R11" s="8">
        <f>Q11*30.126/1000</f>
        <v>0</v>
      </c>
      <c r="S11" s="782"/>
      <c r="T11" s="9"/>
      <c r="U11" s="9"/>
      <c r="V11" s="139"/>
    </row>
    <row r="12" spans="1:22" s="30" customFormat="1" ht="15" customHeight="1" hidden="1">
      <c r="A12" s="116"/>
      <c r="B12" s="789" t="s">
        <v>413</v>
      </c>
      <c r="C12" s="782"/>
      <c r="D12" s="382">
        <v>2433</v>
      </c>
      <c r="E12" s="985"/>
      <c r="F12" s="986"/>
      <c r="G12" s="446"/>
      <c r="H12" s="470"/>
      <c r="I12" s="9"/>
      <c r="J12" s="9">
        <f t="shared" si="6"/>
        <v>0</v>
      </c>
      <c r="K12" s="9"/>
      <c r="L12" s="9"/>
      <c r="M12" s="9"/>
      <c r="N12" s="9"/>
      <c r="O12" s="9"/>
      <c r="P12" s="382">
        <f>O12*30.126/1000</f>
        <v>0</v>
      </c>
      <c r="Q12" s="35"/>
      <c r="R12" s="8">
        <f>Q12*30.126/1000</f>
        <v>0</v>
      </c>
      <c r="S12" s="782"/>
      <c r="T12" s="9"/>
      <c r="U12" s="9"/>
      <c r="V12" s="139"/>
    </row>
    <row r="13" spans="1:22" s="30" customFormat="1" ht="15" customHeight="1">
      <c r="A13" s="116"/>
      <c r="B13" s="789" t="s">
        <v>1223</v>
      </c>
      <c r="C13" s="782"/>
      <c r="D13" s="382"/>
      <c r="E13" s="985"/>
      <c r="F13" s="986"/>
      <c r="G13" s="446">
        <v>6640</v>
      </c>
      <c r="H13" s="470">
        <f>G13*30.126/1000</f>
        <v>200.03664</v>
      </c>
      <c r="I13" s="9">
        <v>6640</v>
      </c>
      <c r="J13" s="9">
        <f t="shared" si="6"/>
        <v>200.03664</v>
      </c>
      <c r="K13" s="9"/>
      <c r="L13" s="9"/>
      <c r="M13" s="9"/>
      <c r="N13" s="9"/>
      <c r="O13" s="9">
        <v>6640</v>
      </c>
      <c r="P13" s="382">
        <f>O13*30.126/1000</f>
        <v>200.03664</v>
      </c>
      <c r="Q13" s="35">
        <v>6640</v>
      </c>
      <c r="R13" s="8">
        <f>Q13*30.126/1000</f>
        <v>200.03664</v>
      </c>
      <c r="S13" s="782"/>
      <c r="T13" s="9"/>
      <c r="U13" s="9"/>
      <c r="V13" s="139"/>
    </row>
    <row r="14" spans="1:22" s="30" customFormat="1" ht="15" customHeight="1">
      <c r="A14" s="130" t="s">
        <v>14</v>
      </c>
      <c r="B14" s="790" t="s">
        <v>1193</v>
      </c>
      <c r="C14" s="782">
        <f aca="true" t="shared" si="7" ref="C14:N14">SUM(C15:C22)</f>
        <v>10014</v>
      </c>
      <c r="D14" s="382">
        <f t="shared" si="7"/>
        <v>17369</v>
      </c>
      <c r="E14" s="985">
        <f t="shared" si="7"/>
        <v>439818</v>
      </c>
      <c r="F14" s="986">
        <f t="shared" si="7"/>
        <v>13250.013846000002</v>
      </c>
      <c r="G14" s="446">
        <f t="shared" si="7"/>
        <v>456702</v>
      </c>
      <c r="H14" s="470">
        <f t="shared" si="7"/>
        <v>13758.604452000001</v>
      </c>
      <c r="I14" s="9">
        <f t="shared" si="7"/>
        <v>456702</v>
      </c>
      <c r="J14" s="9">
        <f t="shared" si="7"/>
        <v>13758.604452000001</v>
      </c>
      <c r="K14" s="9">
        <f t="shared" si="7"/>
        <v>0</v>
      </c>
      <c r="L14" s="9">
        <f t="shared" si="7"/>
        <v>0</v>
      </c>
      <c r="M14" s="9">
        <f t="shared" si="7"/>
        <v>0</v>
      </c>
      <c r="N14" s="9">
        <f t="shared" si="7"/>
        <v>0</v>
      </c>
      <c r="O14" s="9">
        <f>SUM(O15:O22)</f>
        <v>456702</v>
      </c>
      <c r="P14" s="382">
        <f>SUM(P15:P22)</f>
        <v>13758.604452000001</v>
      </c>
      <c r="Q14" s="35">
        <f>SUM(Q15:Q22)</f>
        <v>438299</v>
      </c>
      <c r="R14" s="8">
        <f>SUM(R15:R22)</f>
        <v>13204.195674000002</v>
      </c>
      <c r="S14" s="782"/>
      <c r="T14" s="9"/>
      <c r="U14" s="9"/>
      <c r="V14" s="139"/>
    </row>
    <row r="15" spans="1:22" s="30" customFormat="1" ht="15" customHeight="1">
      <c r="A15" s="148"/>
      <c r="B15" s="789" t="s">
        <v>414</v>
      </c>
      <c r="C15" s="782">
        <v>5315</v>
      </c>
      <c r="D15" s="382">
        <v>7136</v>
      </c>
      <c r="E15" s="985">
        <v>260738</v>
      </c>
      <c r="F15" s="986">
        <v>7855</v>
      </c>
      <c r="G15" s="446">
        <v>237702</v>
      </c>
      <c r="H15" s="470">
        <f>G15*30.126/1000</f>
        <v>7161.010452</v>
      </c>
      <c r="I15" s="9">
        <v>237702</v>
      </c>
      <c r="J15" s="9">
        <f>I15*30.126/1000</f>
        <v>7161.010452</v>
      </c>
      <c r="K15" s="9"/>
      <c r="L15" s="9"/>
      <c r="M15" s="9"/>
      <c r="N15" s="9"/>
      <c r="O15" s="9">
        <v>237702</v>
      </c>
      <c r="P15" s="382">
        <f>O15*30.126/1000</f>
        <v>7161.010452</v>
      </c>
      <c r="Q15" s="35">
        <v>237702</v>
      </c>
      <c r="R15" s="8">
        <f>Q15*30.126/1000</f>
        <v>7161.010452</v>
      </c>
      <c r="S15" s="782"/>
      <c r="T15" s="9"/>
      <c r="U15" s="9"/>
      <c r="V15" s="139"/>
    </row>
    <row r="16" spans="1:22" s="30" customFormat="1" ht="15" customHeight="1">
      <c r="A16" s="121"/>
      <c r="B16" s="789" t="s">
        <v>415</v>
      </c>
      <c r="C16" s="782">
        <v>2500</v>
      </c>
      <c r="D16" s="382">
        <v>2915</v>
      </c>
      <c r="E16" s="985">
        <v>72859</v>
      </c>
      <c r="F16" s="986">
        <v>2195</v>
      </c>
      <c r="G16" s="446">
        <v>96702</v>
      </c>
      <c r="H16" s="470">
        <f aca="true" t="shared" si="8" ref="H16:H22">G16*30.126/1000</f>
        <v>2913.244452</v>
      </c>
      <c r="I16" s="9">
        <v>96702</v>
      </c>
      <c r="J16" s="9">
        <f aca="true" t="shared" si="9" ref="J16:J22">I16*30.126/1000</f>
        <v>2913.244452</v>
      </c>
      <c r="K16" s="9"/>
      <c r="L16" s="9"/>
      <c r="M16" s="9"/>
      <c r="N16" s="9"/>
      <c r="O16" s="9">
        <v>96702</v>
      </c>
      <c r="P16" s="382">
        <f aca="true" t="shared" si="10" ref="P16:R22">O16*30.126/1000</f>
        <v>2913.244452</v>
      </c>
      <c r="Q16" s="35">
        <v>96702</v>
      </c>
      <c r="R16" s="8">
        <f t="shared" si="10"/>
        <v>2913.244452</v>
      </c>
      <c r="S16" s="782"/>
      <c r="T16" s="9"/>
      <c r="U16" s="9"/>
      <c r="V16" s="139"/>
    </row>
    <row r="17" spans="1:22" s="30" customFormat="1" ht="15" customHeight="1">
      <c r="A17" s="121"/>
      <c r="B17" s="789" t="s">
        <v>416</v>
      </c>
      <c r="C17" s="782">
        <v>999</v>
      </c>
      <c r="D17" s="382">
        <v>1293</v>
      </c>
      <c r="E17" s="985">
        <v>29875</v>
      </c>
      <c r="F17" s="986">
        <f aca="true" t="shared" si="11" ref="F17:F22">(E17*30.126)/1000</f>
        <v>900.01425</v>
      </c>
      <c r="G17" s="446">
        <v>43000</v>
      </c>
      <c r="H17" s="470">
        <f t="shared" si="8"/>
        <v>1295.418</v>
      </c>
      <c r="I17" s="9">
        <v>43000</v>
      </c>
      <c r="J17" s="9">
        <f t="shared" si="9"/>
        <v>1295.418</v>
      </c>
      <c r="K17" s="9"/>
      <c r="L17" s="9"/>
      <c r="M17" s="9"/>
      <c r="N17" s="9"/>
      <c r="O17" s="9">
        <v>43000</v>
      </c>
      <c r="P17" s="382">
        <f t="shared" si="10"/>
        <v>1295.418</v>
      </c>
      <c r="Q17" s="35">
        <v>43000</v>
      </c>
      <c r="R17" s="8">
        <f t="shared" si="10"/>
        <v>1295.418</v>
      </c>
      <c r="S17" s="782"/>
      <c r="T17" s="9"/>
      <c r="U17" s="9"/>
      <c r="V17" s="139"/>
    </row>
    <row r="18" spans="1:22" s="30" customFormat="1" ht="15" customHeight="1">
      <c r="A18" s="121"/>
      <c r="B18" s="789" t="s">
        <v>417</v>
      </c>
      <c r="C18" s="782">
        <v>500</v>
      </c>
      <c r="D18" s="382">
        <v>516</v>
      </c>
      <c r="E18" s="985">
        <v>16597</v>
      </c>
      <c r="F18" s="986">
        <f t="shared" si="11"/>
        <v>500.001222</v>
      </c>
      <c r="G18" s="446">
        <v>20000</v>
      </c>
      <c r="H18" s="470">
        <f t="shared" si="8"/>
        <v>602.52</v>
      </c>
      <c r="I18" s="9">
        <v>20000</v>
      </c>
      <c r="J18" s="9">
        <f t="shared" si="9"/>
        <v>602.52</v>
      </c>
      <c r="K18" s="9"/>
      <c r="L18" s="9"/>
      <c r="M18" s="9"/>
      <c r="N18" s="9"/>
      <c r="O18" s="9">
        <v>20000</v>
      </c>
      <c r="P18" s="382">
        <f t="shared" si="10"/>
        <v>602.52</v>
      </c>
      <c r="Q18" s="35">
        <v>20000</v>
      </c>
      <c r="R18" s="8">
        <f t="shared" si="10"/>
        <v>602.52</v>
      </c>
      <c r="S18" s="782"/>
      <c r="T18" s="9"/>
      <c r="U18" s="9"/>
      <c r="V18" s="139"/>
    </row>
    <row r="19" spans="1:22" s="30" customFormat="1" ht="15" customHeight="1">
      <c r="A19" s="121"/>
      <c r="B19" s="789" t="s">
        <v>418</v>
      </c>
      <c r="C19" s="782"/>
      <c r="D19" s="382">
        <v>1075</v>
      </c>
      <c r="E19" s="985">
        <v>36513</v>
      </c>
      <c r="F19" s="986">
        <f t="shared" si="11"/>
        <v>1099.990638</v>
      </c>
      <c r="G19" s="446">
        <v>35000</v>
      </c>
      <c r="H19" s="470">
        <f t="shared" si="8"/>
        <v>1054.41</v>
      </c>
      <c r="I19" s="9">
        <v>35000</v>
      </c>
      <c r="J19" s="9">
        <f t="shared" si="9"/>
        <v>1054.41</v>
      </c>
      <c r="K19" s="9"/>
      <c r="L19" s="9"/>
      <c r="M19" s="9"/>
      <c r="N19" s="9"/>
      <c r="O19" s="9">
        <v>35000</v>
      </c>
      <c r="P19" s="382">
        <f t="shared" si="10"/>
        <v>1054.41</v>
      </c>
      <c r="Q19" s="35">
        <v>16597</v>
      </c>
      <c r="R19" s="8">
        <f t="shared" si="10"/>
        <v>500.001222</v>
      </c>
      <c r="S19" s="782"/>
      <c r="T19" s="9"/>
      <c r="U19" s="9"/>
      <c r="V19" s="139"/>
    </row>
    <row r="20" spans="1:22" s="30" customFormat="1" ht="15" customHeight="1" hidden="1">
      <c r="A20" s="121"/>
      <c r="B20" s="789" t="s">
        <v>419</v>
      </c>
      <c r="C20" s="782">
        <v>200</v>
      </c>
      <c r="D20" s="382">
        <v>3218</v>
      </c>
      <c r="E20" s="985"/>
      <c r="F20" s="986"/>
      <c r="G20" s="446"/>
      <c r="H20" s="470"/>
      <c r="I20" s="9"/>
      <c r="J20" s="9">
        <f t="shared" si="9"/>
        <v>0</v>
      </c>
      <c r="K20" s="9"/>
      <c r="L20" s="9"/>
      <c r="M20" s="9"/>
      <c r="N20" s="9"/>
      <c r="O20" s="9"/>
      <c r="P20" s="382">
        <f t="shared" si="10"/>
        <v>0</v>
      </c>
      <c r="Q20" s="35"/>
      <c r="R20" s="8">
        <f t="shared" si="10"/>
        <v>0</v>
      </c>
      <c r="S20" s="782"/>
      <c r="T20" s="9"/>
      <c r="U20" s="9"/>
      <c r="V20" s="139"/>
    </row>
    <row r="21" spans="1:22" s="30" customFormat="1" ht="15" customHeight="1">
      <c r="A21" s="121"/>
      <c r="B21" s="789" t="s">
        <v>420</v>
      </c>
      <c r="C21" s="782"/>
      <c r="D21" s="382">
        <v>232</v>
      </c>
      <c r="E21" s="985">
        <v>6639</v>
      </c>
      <c r="F21" s="986">
        <f t="shared" si="11"/>
        <v>200.00651399999998</v>
      </c>
      <c r="G21" s="446">
        <v>7701</v>
      </c>
      <c r="H21" s="470">
        <f t="shared" si="8"/>
        <v>232.000326</v>
      </c>
      <c r="I21" s="9">
        <v>7701</v>
      </c>
      <c r="J21" s="9">
        <f t="shared" si="9"/>
        <v>232.000326</v>
      </c>
      <c r="K21" s="9"/>
      <c r="L21" s="9"/>
      <c r="M21" s="9"/>
      <c r="N21" s="9"/>
      <c r="O21" s="9">
        <v>7701</v>
      </c>
      <c r="P21" s="382">
        <f t="shared" si="10"/>
        <v>232.000326</v>
      </c>
      <c r="Q21" s="35">
        <v>7701</v>
      </c>
      <c r="R21" s="8">
        <f t="shared" si="10"/>
        <v>232.000326</v>
      </c>
      <c r="S21" s="782"/>
      <c r="T21" s="9"/>
      <c r="U21" s="9"/>
      <c r="V21" s="139"/>
    </row>
    <row r="22" spans="1:22" s="30" customFormat="1" ht="15" customHeight="1">
      <c r="A22" s="121"/>
      <c r="B22" s="789" t="s">
        <v>421</v>
      </c>
      <c r="C22" s="782">
        <v>500</v>
      </c>
      <c r="D22" s="382">
        <v>984</v>
      </c>
      <c r="E22" s="985">
        <v>16597</v>
      </c>
      <c r="F22" s="986">
        <f t="shared" si="11"/>
        <v>500.001222</v>
      </c>
      <c r="G22" s="446">
        <v>16597</v>
      </c>
      <c r="H22" s="470">
        <f t="shared" si="8"/>
        <v>500.001222</v>
      </c>
      <c r="I22" s="9">
        <v>16597</v>
      </c>
      <c r="J22" s="9">
        <f t="shared" si="9"/>
        <v>500.001222</v>
      </c>
      <c r="K22" s="9"/>
      <c r="L22" s="9"/>
      <c r="M22" s="9"/>
      <c r="N22" s="9"/>
      <c r="O22" s="9">
        <v>16597</v>
      </c>
      <c r="P22" s="382">
        <f t="shared" si="10"/>
        <v>500.001222</v>
      </c>
      <c r="Q22" s="35">
        <v>16597</v>
      </c>
      <c r="R22" s="8">
        <f t="shared" si="10"/>
        <v>500.001222</v>
      </c>
      <c r="S22" s="782"/>
      <c r="T22" s="9"/>
      <c r="U22" s="9"/>
      <c r="V22" s="139"/>
    </row>
    <row r="23" spans="1:22" s="30" customFormat="1" ht="15" customHeight="1">
      <c r="A23" s="130" t="s">
        <v>15</v>
      </c>
      <c r="B23" s="790" t="s">
        <v>1170</v>
      </c>
      <c r="C23" s="782">
        <f>SUM(C24)</f>
        <v>199</v>
      </c>
      <c r="D23" s="382">
        <f aca="true" t="shared" si="12" ref="D23:N23">SUM(D24)</f>
        <v>1262</v>
      </c>
      <c r="E23" s="985">
        <f t="shared" si="12"/>
        <v>6639</v>
      </c>
      <c r="F23" s="986">
        <f t="shared" si="12"/>
        <v>200.00651399999998</v>
      </c>
      <c r="G23" s="446">
        <f t="shared" si="12"/>
        <v>6639</v>
      </c>
      <c r="H23" s="470">
        <f t="shared" si="12"/>
        <v>200.00651399999998</v>
      </c>
      <c r="I23" s="9">
        <f>I24</f>
        <v>6639</v>
      </c>
      <c r="J23" s="9">
        <f t="shared" si="12"/>
        <v>200.00651399999998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>O24</f>
        <v>6639</v>
      </c>
      <c r="P23" s="382">
        <f>SUM(P24)</f>
        <v>200.00651399999998</v>
      </c>
      <c r="Q23" s="35">
        <f>Q24</f>
        <v>6639</v>
      </c>
      <c r="R23" s="8">
        <f>SUM(R24)</f>
        <v>200.00651399999998</v>
      </c>
      <c r="S23" s="782"/>
      <c r="T23" s="9"/>
      <c r="U23" s="9"/>
      <c r="V23" s="139"/>
    </row>
    <row r="24" spans="1:22" s="30" customFormat="1" ht="15" customHeight="1">
      <c r="A24" s="130"/>
      <c r="B24" s="789" t="s">
        <v>422</v>
      </c>
      <c r="C24" s="782">
        <v>199</v>
      </c>
      <c r="D24" s="382">
        <v>1262</v>
      </c>
      <c r="E24" s="985">
        <v>6639</v>
      </c>
      <c r="F24" s="986">
        <f>(E24*30.126)/1000</f>
        <v>200.00651399999998</v>
      </c>
      <c r="G24" s="446">
        <v>6639</v>
      </c>
      <c r="H24" s="470">
        <f>G24*30.126/1000</f>
        <v>200.00651399999998</v>
      </c>
      <c r="I24" s="9">
        <v>6639</v>
      </c>
      <c r="J24" s="9">
        <f>I24*30.126/1000</f>
        <v>200.00651399999998</v>
      </c>
      <c r="K24" s="9"/>
      <c r="L24" s="9"/>
      <c r="M24" s="9"/>
      <c r="N24" s="9"/>
      <c r="O24" s="9">
        <v>6639</v>
      </c>
      <c r="P24" s="382">
        <f>O24*30.126/1000</f>
        <v>200.00651399999998</v>
      </c>
      <c r="Q24" s="35">
        <v>6639</v>
      </c>
      <c r="R24" s="8">
        <f>Q24*30.126/1000</f>
        <v>200.00651399999998</v>
      </c>
      <c r="S24" s="782"/>
      <c r="T24" s="9"/>
      <c r="U24" s="9"/>
      <c r="V24" s="139"/>
    </row>
    <row r="25" spans="1:22" s="30" customFormat="1" ht="15.75" customHeight="1">
      <c r="A25" s="130" t="s">
        <v>16</v>
      </c>
      <c r="B25" s="790" t="s">
        <v>1171</v>
      </c>
      <c r="C25" s="782">
        <f>SUM(C26:C26)</f>
        <v>2000</v>
      </c>
      <c r="D25" s="382">
        <f aca="true" t="shared" si="13" ref="D25:N25">SUM(D26:D26)</f>
        <v>2075</v>
      </c>
      <c r="E25" s="985">
        <f t="shared" si="13"/>
        <v>66388</v>
      </c>
      <c r="F25" s="986">
        <f t="shared" si="13"/>
        <v>2000.004888</v>
      </c>
      <c r="G25" s="446">
        <f t="shared" si="13"/>
        <v>100000</v>
      </c>
      <c r="H25" s="470">
        <f t="shared" si="13"/>
        <v>3012.6</v>
      </c>
      <c r="I25" s="9">
        <f t="shared" si="13"/>
        <v>76346</v>
      </c>
      <c r="J25" s="9">
        <f t="shared" si="13"/>
        <v>2299.999596</v>
      </c>
      <c r="K25" s="9">
        <f t="shared" si="13"/>
        <v>0</v>
      </c>
      <c r="L25" s="9">
        <f t="shared" si="13"/>
        <v>0</v>
      </c>
      <c r="M25" s="9">
        <f t="shared" si="13"/>
        <v>0</v>
      </c>
      <c r="N25" s="9">
        <f t="shared" si="13"/>
        <v>0</v>
      </c>
      <c r="O25" s="9">
        <f>SUM(O26:O26)</f>
        <v>76346</v>
      </c>
      <c r="P25" s="382">
        <f>SUM(P26:P26)</f>
        <v>2299.999596</v>
      </c>
      <c r="Q25" s="35">
        <f>SUM(Q26:Q26)</f>
        <v>76346</v>
      </c>
      <c r="R25" s="8">
        <f>SUM(R26:R26)</f>
        <v>2299.999596</v>
      </c>
      <c r="S25" s="782"/>
      <c r="T25" s="9"/>
      <c r="U25" s="9"/>
      <c r="V25" s="139"/>
    </row>
    <row r="26" spans="1:22" s="30" customFormat="1" ht="15.75" customHeight="1">
      <c r="A26" s="130"/>
      <c r="B26" s="789" t="s">
        <v>423</v>
      </c>
      <c r="C26" s="782">
        <v>2000</v>
      </c>
      <c r="D26" s="382">
        <v>2075</v>
      </c>
      <c r="E26" s="985">
        <v>66388</v>
      </c>
      <c r="F26" s="986">
        <f>(E26*30.126)/1000</f>
        <v>2000.004888</v>
      </c>
      <c r="G26" s="446">
        <v>100000</v>
      </c>
      <c r="H26" s="470">
        <f>G26*30.126/1000</f>
        <v>3012.6</v>
      </c>
      <c r="I26" s="9">
        <v>76346</v>
      </c>
      <c r="J26" s="9">
        <f>I26*30.126/1000</f>
        <v>2299.999596</v>
      </c>
      <c r="K26" s="9"/>
      <c r="L26" s="9"/>
      <c r="M26" s="9"/>
      <c r="N26" s="9"/>
      <c r="O26" s="9">
        <v>76346</v>
      </c>
      <c r="P26" s="382">
        <f>O26*30.126/1000</f>
        <v>2299.999596</v>
      </c>
      <c r="Q26" s="35">
        <v>76346</v>
      </c>
      <c r="R26" s="8">
        <f>Q26*30.126/1000</f>
        <v>2299.999596</v>
      </c>
      <c r="S26" s="782"/>
      <c r="T26" s="9"/>
      <c r="U26" s="9"/>
      <c r="V26" s="139"/>
    </row>
    <row r="27" spans="1:22" s="30" customFormat="1" ht="15.75" customHeight="1">
      <c r="A27" s="149" t="s">
        <v>17</v>
      </c>
      <c r="B27" s="790" t="s">
        <v>1172</v>
      </c>
      <c r="C27" s="782">
        <f>SUM(C28:C29)</f>
        <v>397</v>
      </c>
      <c r="D27" s="382">
        <v>662</v>
      </c>
      <c r="E27" s="985">
        <f>SUM(E28:E29)</f>
        <v>16597</v>
      </c>
      <c r="F27" s="986">
        <f aca="true" t="shared" si="14" ref="F27:N27">SUM(F28:F29)</f>
        <v>500.001222</v>
      </c>
      <c r="G27" s="446">
        <f t="shared" si="14"/>
        <v>28875</v>
      </c>
      <c r="H27" s="470">
        <f t="shared" si="14"/>
        <v>869.88825</v>
      </c>
      <c r="I27" s="9">
        <f t="shared" si="14"/>
        <v>16597</v>
      </c>
      <c r="J27" s="9">
        <f t="shared" si="14"/>
        <v>500.001222</v>
      </c>
      <c r="K27" s="9">
        <f t="shared" si="14"/>
        <v>0</v>
      </c>
      <c r="L27" s="9">
        <f t="shared" si="14"/>
        <v>0</v>
      </c>
      <c r="M27" s="9">
        <f t="shared" si="14"/>
        <v>0</v>
      </c>
      <c r="N27" s="9">
        <f t="shared" si="14"/>
        <v>0</v>
      </c>
      <c r="O27" s="9">
        <f>SUM(O28:O29)</f>
        <v>16597</v>
      </c>
      <c r="P27" s="382">
        <f>SUM(P28:P29)</f>
        <v>500.001222</v>
      </c>
      <c r="Q27" s="35">
        <f>SUM(Q28:Q29)</f>
        <v>16597</v>
      </c>
      <c r="R27" s="8">
        <f>SUM(R28:R29)</f>
        <v>500.001222</v>
      </c>
      <c r="S27" s="782"/>
      <c r="T27" s="9"/>
      <c r="U27" s="9"/>
      <c r="V27" s="139"/>
    </row>
    <row r="28" spans="1:22" s="30" customFormat="1" ht="15.75" customHeight="1">
      <c r="A28" s="156"/>
      <c r="B28" s="789" t="s">
        <v>424</v>
      </c>
      <c r="C28" s="782">
        <v>198</v>
      </c>
      <c r="D28" s="382"/>
      <c r="E28" s="985">
        <v>13278</v>
      </c>
      <c r="F28" s="986">
        <f>(E28*30.126)/1000</f>
        <v>400.01302799999996</v>
      </c>
      <c r="G28" s="446">
        <v>16597</v>
      </c>
      <c r="H28" s="470">
        <f>G28*30.126/1000</f>
        <v>500.001222</v>
      </c>
      <c r="I28" s="9">
        <v>9958</v>
      </c>
      <c r="J28" s="9">
        <f>I28*30.126/1000</f>
        <v>299.994708</v>
      </c>
      <c r="K28" s="9"/>
      <c r="L28" s="9"/>
      <c r="M28" s="9"/>
      <c r="N28" s="9"/>
      <c r="O28" s="9">
        <v>9958</v>
      </c>
      <c r="P28" s="382">
        <f>O28*30.126/1000</f>
        <v>299.994708</v>
      </c>
      <c r="Q28" s="35">
        <v>9958</v>
      </c>
      <c r="R28" s="8">
        <f>Q28*30.126/1000</f>
        <v>299.994708</v>
      </c>
      <c r="S28" s="782"/>
      <c r="T28" s="9"/>
      <c r="U28" s="9"/>
      <c r="V28" s="139"/>
    </row>
    <row r="29" spans="1:22" s="30" customFormat="1" ht="15.75" customHeight="1">
      <c r="A29" s="157"/>
      <c r="B29" s="789" t="s">
        <v>425</v>
      </c>
      <c r="C29" s="782">
        <v>199</v>
      </c>
      <c r="D29" s="382"/>
      <c r="E29" s="985">
        <v>3319</v>
      </c>
      <c r="F29" s="986">
        <f>(E29*30.126)/1000</f>
        <v>99.98819400000001</v>
      </c>
      <c r="G29" s="446">
        <v>12278</v>
      </c>
      <c r="H29" s="470">
        <f>G29*30.126/1000</f>
        <v>369.887028</v>
      </c>
      <c r="I29" s="9">
        <v>6639</v>
      </c>
      <c r="J29" s="9">
        <f>I29*30.126/1000</f>
        <v>200.00651399999998</v>
      </c>
      <c r="K29" s="9"/>
      <c r="L29" s="9"/>
      <c r="M29" s="9"/>
      <c r="N29" s="9"/>
      <c r="O29" s="9">
        <v>6639</v>
      </c>
      <c r="P29" s="382">
        <f>O29*30.126/1000</f>
        <v>200.00651399999998</v>
      </c>
      <c r="Q29" s="35">
        <v>6639</v>
      </c>
      <c r="R29" s="8">
        <f>Q29*30.126/1000</f>
        <v>200.00651399999998</v>
      </c>
      <c r="S29" s="782"/>
      <c r="T29" s="9"/>
      <c r="U29" s="9"/>
      <c r="V29" s="139"/>
    </row>
    <row r="30" spans="1:22" s="30" customFormat="1" ht="15.75" customHeight="1">
      <c r="A30" s="149" t="s">
        <v>18</v>
      </c>
      <c r="B30" s="790" t="s">
        <v>426</v>
      </c>
      <c r="C30" s="782">
        <v>500</v>
      </c>
      <c r="D30" s="382">
        <v>488</v>
      </c>
      <c r="E30" s="985">
        <v>16597</v>
      </c>
      <c r="F30" s="986">
        <f>(E30*30.126)/1000</f>
        <v>500.001222</v>
      </c>
      <c r="G30" s="446">
        <v>16597</v>
      </c>
      <c r="H30" s="470">
        <f>G30*30.126/1000</f>
        <v>500.001222</v>
      </c>
      <c r="I30" s="9">
        <v>16597</v>
      </c>
      <c r="J30" s="9">
        <f>I30*30.126/1000</f>
        <v>500.001222</v>
      </c>
      <c r="K30" s="9"/>
      <c r="L30" s="9"/>
      <c r="M30" s="9"/>
      <c r="N30" s="9"/>
      <c r="O30" s="9">
        <v>16597</v>
      </c>
      <c r="P30" s="382">
        <f>O30*30.126/1000</f>
        <v>500.001222</v>
      </c>
      <c r="Q30" s="35">
        <v>16597</v>
      </c>
      <c r="R30" s="8">
        <f>Q30*30.126/1000</f>
        <v>500.001222</v>
      </c>
      <c r="S30" s="782"/>
      <c r="T30" s="9"/>
      <c r="U30" s="9"/>
      <c r="V30" s="139"/>
    </row>
    <row r="31" spans="1:22" s="30" customFormat="1" ht="15.75" customHeight="1">
      <c r="A31" s="149" t="s">
        <v>19</v>
      </c>
      <c r="B31" s="790" t="s">
        <v>1194</v>
      </c>
      <c r="C31" s="782"/>
      <c r="D31" s="382">
        <v>454</v>
      </c>
      <c r="E31" s="985"/>
      <c r="F31" s="986"/>
      <c r="G31" s="446">
        <v>16597</v>
      </c>
      <c r="H31" s="470">
        <f>G31*30.126/1000</f>
        <v>500.001222</v>
      </c>
      <c r="I31" s="9">
        <v>16597</v>
      </c>
      <c r="J31" s="9">
        <f>I31*30.126/1000</f>
        <v>500.001222</v>
      </c>
      <c r="K31" s="9"/>
      <c r="L31" s="9"/>
      <c r="M31" s="9"/>
      <c r="N31" s="9"/>
      <c r="O31" s="9">
        <v>16597</v>
      </c>
      <c r="P31" s="382">
        <f>O31*30.126/1000</f>
        <v>500.001222</v>
      </c>
      <c r="Q31" s="35">
        <v>16597</v>
      </c>
      <c r="R31" s="8">
        <f>Q31*30.126/1000</f>
        <v>500.001222</v>
      </c>
      <c r="S31" s="782"/>
      <c r="T31" s="9"/>
      <c r="U31" s="9"/>
      <c r="V31" s="139"/>
    </row>
    <row r="32" spans="1:22" s="30" customFormat="1" ht="19.5" customHeight="1">
      <c r="A32" s="112" t="s">
        <v>20</v>
      </c>
      <c r="B32" s="787" t="s">
        <v>967</v>
      </c>
      <c r="C32" s="780">
        <f aca="true" t="shared" si="15" ref="C32:N32">C33+C64+C109+C110+C111+C113</f>
        <v>22977</v>
      </c>
      <c r="D32" s="456">
        <f t="shared" si="15"/>
        <v>76640</v>
      </c>
      <c r="E32" s="245">
        <f t="shared" si="15"/>
        <v>5455472</v>
      </c>
      <c r="F32" s="764">
        <f t="shared" si="15"/>
        <v>164351.20577800003</v>
      </c>
      <c r="G32" s="464">
        <f t="shared" si="15"/>
        <v>2359107</v>
      </c>
      <c r="H32" s="20">
        <f t="shared" si="15"/>
        <v>71070.45748200001</v>
      </c>
      <c r="I32" s="29">
        <f t="shared" si="15"/>
        <v>2361107</v>
      </c>
      <c r="J32" s="29">
        <f t="shared" si="15"/>
        <v>71130.709482</v>
      </c>
      <c r="K32" s="29">
        <f t="shared" si="15"/>
        <v>3643000</v>
      </c>
      <c r="L32" s="29">
        <f t="shared" si="15"/>
        <v>109749.01800000001</v>
      </c>
      <c r="M32" s="29">
        <f t="shared" si="15"/>
        <v>0</v>
      </c>
      <c r="N32" s="29">
        <f t="shared" si="15"/>
        <v>0</v>
      </c>
      <c r="O32" s="29">
        <f>O33+O64+O109+O110+O111+O113</f>
        <v>2361107</v>
      </c>
      <c r="P32" s="456">
        <f>P33+P64+P109+P110+P111+P113</f>
        <v>71130.709482</v>
      </c>
      <c r="Q32" s="20">
        <f>Q33+Q64+Q109+Q110+Q111+Q113</f>
        <v>2595927</v>
      </c>
      <c r="R32" s="18">
        <f>R33+R64+R109+R110+R111+R113</f>
        <v>78204.896802</v>
      </c>
      <c r="S32" s="780">
        <v>2296927</v>
      </c>
      <c r="T32" s="29">
        <f>S32*30.126/1000</f>
        <v>69197.222802</v>
      </c>
      <c r="U32" s="29">
        <v>2296927</v>
      </c>
      <c r="V32" s="480">
        <f>U32*30.126/1000</f>
        <v>69197.222802</v>
      </c>
    </row>
    <row r="33" spans="1:22" s="30" customFormat="1" ht="15" customHeight="1">
      <c r="A33" s="130" t="s">
        <v>21</v>
      </c>
      <c r="B33" s="790" t="s">
        <v>1169</v>
      </c>
      <c r="C33" s="783">
        <f aca="true" t="shared" si="16" ref="C33:N33">C34+C46+C49+C54+C57</f>
        <v>2574</v>
      </c>
      <c r="D33" s="458">
        <f t="shared" si="16"/>
        <v>1406</v>
      </c>
      <c r="E33" s="987">
        <f t="shared" si="16"/>
        <v>53824</v>
      </c>
      <c r="F33" s="988">
        <f t="shared" si="16"/>
        <v>1621.501824</v>
      </c>
      <c r="G33" s="466">
        <f t="shared" si="16"/>
        <v>91825</v>
      </c>
      <c r="H33" s="471">
        <f t="shared" si="16"/>
        <v>2766.31995</v>
      </c>
      <c r="I33" s="73">
        <f t="shared" si="16"/>
        <v>93825</v>
      </c>
      <c r="J33" s="73">
        <f t="shared" si="16"/>
        <v>2826.57195</v>
      </c>
      <c r="K33" s="73">
        <f t="shared" si="16"/>
        <v>23000</v>
      </c>
      <c r="L33" s="73">
        <f t="shared" si="16"/>
        <v>692.898</v>
      </c>
      <c r="M33" s="73">
        <f t="shared" si="16"/>
        <v>0</v>
      </c>
      <c r="N33" s="73">
        <f t="shared" si="16"/>
        <v>0</v>
      </c>
      <c r="O33" s="73">
        <f>O34+O46+O49+O54+O57</f>
        <v>93825</v>
      </c>
      <c r="P33" s="458">
        <f>P34+P46+P49+P54+P57</f>
        <v>2826.57195</v>
      </c>
      <c r="Q33" s="663">
        <f>Q34+Q46+Q49+Q54+Q57</f>
        <v>53725</v>
      </c>
      <c r="R33" s="74">
        <f>R34+R46+R49+R54+R57</f>
        <v>1618.51935</v>
      </c>
      <c r="S33" s="783"/>
      <c r="T33" s="73"/>
      <c r="U33" s="73"/>
      <c r="V33" s="481"/>
    </row>
    <row r="34" spans="1:22" s="30" customFormat="1" ht="15" customHeight="1">
      <c r="A34" s="158"/>
      <c r="B34" s="789" t="s">
        <v>1195</v>
      </c>
      <c r="C34" s="782">
        <f aca="true" t="shared" si="17" ref="C34:N34">SUM(C35:C45)</f>
        <v>1904</v>
      </c>
      <c r="D34" s="382">
        <f t="shared" si="17"/>
        <v>401</v>
      </c>
      <c r="E34" s="985">
        <f t="shared" si="17"/>
        <v>10668</v>
      </c>
      <c r="F34" s="986">
        <f t="shared" si="17"/>
        <v>321.384168</v>
      </c>
      <c r="G34" s="446">
        <f t="shared" si="17"/>
        <v>63270</v>
      </c>
      <c r="H34" s="470">
        <f t="shared" si="17"/>
        <v>1906.07202</v>
      </c>
      <c r="I34" s="9">
        <f t="shared" si="17"/>
        <v>63270</v>
      </c>
      <c r="J34" s="9">
        <f t="shared" si="17"/>
        <v>1906.07202</v>
      </c>
      <c r="K34" s="9">
        <f t="shared" si="17"/>
        <v>23000</v>
      </c>
      <c r="L34" s="9">
        <f t="shared" si="17"/>
        <v>692.898</v>
      </c>
      <c r="M34" s="9">
        <f t="shared" si="17"/>
        <v>0</v>
      </c>
      <c r="N34" s="9">
        <f t="shared" si="17"/>
        <v>0</v>
      </c>
      <c r="O34" s="9">
        <f>SUM(O35:O45)</f>
        <v>63270</v>
      </c>
      <c r="P34" s="382">
        <f>SUM(P35:P45)</f>
        <v>1906.07202</v>
      </c>
      <c r="Q34" s="35">
        <f>SUM(Q35:Q45)</f>
        <v>23170</v>
      </c>
      <c r="R34" s="8">
        <f>SUM(R35:R45)</f>
        <v>698.0194200000001</v>
      </c>
      <c r="S34" s="782"/>
      <c r="T34" s="9"/>
      <c r="U34" s="9"/>
      <c r="V34" s="139"/>
    </row>
    <row r="35" spans="1:22" s="30" customFormat="1" ht="15" customHeight="1" hidden="1">
      <c r="A35" s="159"/>
      <c r="B35" s="791" t="s">
        <v>430</v>
      </c>
      <c r="C35" s="782"/>
      <c r="D35" s="382"/>
      <c r="E35" s="985"/>
      <c r="F35" s="986"/>
      <c r="G35" s="446">
        <v>16600</v>
      </c>
      <c r="H35" s="470">
        <f>G35*30.126/1000</f>
        <v>500.0916</v>
      </c>
      <c r="I35" s="9">
        <v>16600</v>
      </c>
      <c r="J35" s="9">
        <f>I35*30.126/1000</f>
        <v>500.0916</v>
      </c>
      <c r="K35" s="9"/>
      <c r="L35" s="9"/>
      <c r="M35" s="9"/>
      <c r="N35" s="9"/>
      <c r="O35" s="9">
        <v>16600</v>
      </c>
      <c r="P35" s="382">
        <f>O35*30.126/1000</f>
        <v>500.0916</v>
      </c>
      <c r="Q35" s="35"/>
      <c r="R35" s="8"/>
      <c r="S35" s="782"/>
      <c r="T35" s="9"/>
      <c r="U35" s="9"/>
      <c r="V35" s="139"/>
    </row>
    <row r="36" spans="1:22" s="30" customFormat="1" ht="15" customHeight="1">
      <c r="A36" s="136"/>
      <c r="B36" s="791" t="s">
        <v>1224</v>
      </c>
      <c r="C36" s="782"/>
      <c r="D36" s="382">
        <v>121</v>
      </c>
      <c r="E36" s="985">
        <v>9958</v>
      </c>
      <c r="F36" s="986">
        <f>(E36*30.126)/1000</f>
        <v>299.994708</v>
      </c>
      <c r="G36" s="446">
        <v>9000</v>
      </c>
      <c r="H36" s="470">
        <f aca="true" t="shared" si="18" ref="H36:H42">G36*30.126/1000</f>
        <v>271.134</v>
      </c>
      <c r="I36" s="9">
        <v>9000</v>
      </c>
      <c r="J36" s="9">
        <f aca="true" t="shared" si="19" ref="J36:J42">I36*30.126/1000</f>
        <v>271.134</v>
      </c>
      <c r="K36" s="9"/>
      <c r="L36" s="9"/>
      <c r="M36" s="9"/>
      <c r="N36" s="9"/>
      <c r="O36" s="9">
        <v>9000</v>
      </c>
      <c r="P36" s="382">
        <f aca="true" t="shared" si="20" ref="P36:R42">O36*30.126/1000</f>
        <v>271.134</v>
      </c>
      <c r="Q36" s="35">
        <v>9000</v>
      </c>
      <c r="R36" s="8">
        <f t="shared" si="20"/>
        <v>271.134</v>
      </c>
      <c r="S36" s="782"/>
      <c r="T36" s="9"/>
      <c r="U36" s="9"/>
      <c r="V36" s="139"/>
    </row>
    <row r="37" spans="1:22" s="30" customFormat="1" ht="15" customHeight="1">
      <c r="A37" s="116"/>
      <c r="B37" s="791" t="s">
        <v>1225</v>
      </c>
      <c r="C37" s="782"/>
      <c r="D37" s="382"/>
      <c r="E37" s="985"/>
      <c r="F37" s="986"/>
      <c r="G37" s="446">
        <v>13500</v>
      </c>
      <c r="H37" s="470">
        <f t="shared" si="18"/>
        <v>406.701</v>
      </c>
      <c r="I37" s="9">
        <v>13500</v>
      </c>
      <c r="J37" s="9">
        <f t="shared" si="19"/>
        <v>406.701</v>
      </c>
      <c r="K37" s="9"/>
      <c r="L37" s="9"/>
      <c r="M37" s="9"/>
      <c r="N37" s="9"/>
      <c r="O37" s="9">
        <v>13500</v>
      </c>
      <c r="P37" s="382">
        <f t="shared" si="20"/>
        <v>406.701</v>
      </c>
      <c r="Q37" s="35">
        <v>13500</v>
      </c>
      <c r="R37" s="8">
        <f t="shared" si="20"/>
        <v>406.701</v>
      </c>
      <c r="S37" s="782"/>
      <c r="T37" s="9"/>
      <c r="U37" s="9"/>
      <c r="V37" s="139"/>
    </row>
    <row r="38" spans="1:22" s="30" customFormat="1" ht="15" customHeight="1" hidden="1">
      <c r="A38" s="116"/>
      <c r="B38" s="791" t="s">
        <v>1198</v>
      </c>
      <c r="C38" s="782"/>
      <c r="D38" s="382">
        <v>77</v>
      </c>
      <c r="E38" s="985"/>
      <c r="F38" s="986"/>
      <c r="G38" s="446"/>
      <c r="H38" s="470"/>
      <c r="I38" s="9"/>
      <c r="J38" s="9">
        <f t="shared" si="19"/>
        <v>0</v>
      </c>
      <c r="K38" s="9"/>
      <c r="L38" s="9"/>
      <c r="M38" s="9"/>
      <c r="N38" s="9"/>
      <c r="O38" s="9"/>
      <c r="P38" s="382">
        <f t="shared" si="20"/>
        <v>0</v>
      </c>
      <c r="Q38" s="35"/>
      <c r="R38" s="8">
        <f t="shared" si="20"/>
        <v>0</v>
      </c>
      <c r="S38" s="782"/>
      <c r="T38" s="9"/>
      <c r="U38" s="9"/>
      <c r="V38" s="139"/>
    </row>
    <row r="39" spans="1:22" s="30" customFormat="1" ht="15" customHeight="1" hidden="1">
      <c r="A39" s="116"/>
      <c r="B39" s="791" t="s">
        <v>1199</v>
      </c>
      <c r="C39" s="782"/>
      <c r="D39" s="382">
        <v>40</v>
      </c>
      <c r="E39" s="985"/>
      <c r="F39" s="986"/>
      <c r="G39" s="446"/>
      <c r="H39" s="470"/>
      <c r="I39" s="9"/>
      <c r="J39" s="9">
        <f t="shared" si="19"/>
        <v>0</v>
      </c>
      <c r="K39" s="9"/>
      <c r="L39" s="9"/>
      <c r="M39" s="9"/>
      <c r="N39" s="9"/>
      <c r="O39" s="9"/>
      <c r="P39" s="382">
        <f t="shared" si="20"/>
        <v>0</v>
      </c>
      <c r="Q39" s="35"/>
      <c r="R39" s="8">
        <f t="shared" si="20"/>
        <v>0</v>
      </c>
      <c r="S39" s="782"/>
      <c r="T39" s="9"/>
      <c r="U39" s="9"/>
      <c r="V39" s="139"/>
    </row>
    <row r="40" spans="1:22" s="30" customFormat="1" ht="15" customHeight="1">
      <c r="A40" s="116"/>
      <c r="B40" s="791" t="s">
        <v>919</v>
      </c>
      <c r="C40" s="782"/>
      <c r="D40" s="382">
        <v>129</v>
      </c>
      <c r="E40" s="985">
        <v>710</v>
      </c>
      <c r="F40" s="986">
        <f>(E40*30.126)/1000</f>
        <v>21.38946</v>
      </c>
      <c r="G40" s="446">
        <v>670</v>
      </c>
      <c r="H40" s="470">
        <f t="shared" si="18"/>
        <v>20.184420000000003</v>
      </c>
      <c r="I40" s="9">
        <v>670</v>
      </c>
      <c r="J40" s="9">
        <f t="shared" si="19"/>
        <v>20.184420000000003</v>
      </c>
      <c r="K40" s="9"/>
      <c r="L40" s="9"/>
      <c r="M40" s="9"/>
      <c r="N40" s="9"/>
      <c r="O40" s="9">
        <v>670</v>
      </c>
      <c r="P40" s="382">
        <f t="shared" si="20"/>
        <v>20.184420000000003</v>
      </c>
      <c r="Q40" s="35">
        <v>670</v>
      </c>
      <c r="R40" s="8">
        <f t="shared" si="20"/>
        <v>20.184420000000003</v>
      </c>
      <c r="S40" s="782"/>
      <c r="T40" s="9"/>
      <c r="U40" s="9"/>
      <c r="V40" s="139"/>
    </row>
    <row r="41" spans="1:22" s="30" customFormat="1" ht="15" customHeight="1" hidden="1">
      <c r="A41" s="116"/>
      <c r="B41" s="791" t="s">
        <v>1226</v>
      </c>
      <c r="C41" s="782"/>
      <c r="D41" s="382"/>
      <c r="E41" s="985"/>
      <c r="F41" s="986"/>
      <c r="G41" s="446">
        <v>15000</v>
      </c>
      <c r="H41" s="470">
        <f t="shared" si="18"/>
        <v>451.89</v>
      </c>
      <c r="I41" s="9">
        <v>15000</v>
      </c>
      <c r="J41" s="9">
        <f t="shared" si="19"/>
        <v>451.89</v>
      </c>
      <c r="K41" s="9"/>
      <c r="L41" s="9"/>
      <c r="M41" s="9"/>
      <c r="N41" s="9"/>
      <c r="O41" s="9">
        <v>15000</v>
      </c>
      <c r="P41" s="382">
        <f t="shared" si="20"/>
        <v>451.89</v>
      </c>
      <c r="Q41" s="35"/>
      <c r="R41" s="8"/>
      <c r="S41" s="782"/>
      <c r="T41" s="9"/>
      <c r="U41" s="9"/>
      <c r="V41" s="139"/>
    </row>
    <row r="42" spans="1:22" s="30" customFormat="1" ht="15" customHeight="1" hidden="1">
      <c r="A42" s="116"/>
      <c r="B42" s="791" t="s">
        <v>1227</v>
      </c>
      <c r="C42" s="782"/>
      <c r="D42" s="382"/>
      <c r="E42" s="985"/>
      <c r="F42" s="986"/>
      <c r="G42" s="446">
        <v>8500</v>
      </c>
      <c r="H42" s="470">
        <f t="shared" si="18"/>
        <v>256.071</v>
      </c>
      <c r="I42" s="9">
        <v>8500</v>
      </c>
      <c r="J42" s="9">
        <f t="shared" si="19"/>
        <v>256.071</v>
      </c>
      <c r="K42" s="9"/>
      <c r="L42" s="9"/>
      <c r="M42" s="9"/>
      <c r="N42" s="9"/>
      <c r="O42" s="9">
        <v>8500</v>
      </c>
      <c r="P42" s="382">
        <f t="shared" si="20"/>
        <v>256.071</v>
      </c>
      <c r="Q42" s="35"/>
      <c r="R42" s="8"/>
      <c r="S42" s="782"/>
      <c r="T42" s="9"/>
      <c r="U42" s="9"/>
      <c r="V42" s="139"/>
    </row>
    <row r="43" spans="1:22" s="30" customFormat="1" ht="15" customHeight="1" hidden="1">
      <c r="A43" s="116"/>
      <c r="B43" s="791" t="s">
        <v>516</v>
      </c>
      <c r="C43" s="782">
        <v>1904</v>
      </c>
      <c r="D43" s="382"/>
      <c r="E43" s="985"/>
      <c r="F43" s="986"/>
      <c r="G43" s="446"/>
      <c r="H43" s="470"/>
      <c r="I43" s="9"/>
      <c r="J43" s="9"/>
      <c r="K43" s="9"/>
      <c r="L43" s="9"/>
      <c r="M43" s="9"/>
      <c r="N43" s="9"/>
      <c r="O43" s="9"/>
      <c r="P43" s="382"/>
      <c r="Q43" s="35"/>
      <c r="R43" s="8"/>
      <c r="S43" s="782"/>
      <c r="T43" s="9"/>
      <c r="U43" s="9"/>
      <c r="V43" s="139"/>
    </row>
    <row r="44" spans="1:22" s="30" customFormat="1" ht="15" customHeight="1" hidden="1">
      <c r="A44" s="116"/>
      <c r="B44" s="791" t="s">
        <v>1228</v>
      </c>
      <c r="C44" s="782"/>
      <c r="D44" s="382"/>
      <c r="E44" s="985"/>
      <c r="F44" s="986"/>
      <c r="G44" s="446"/>
      <c r="H44" s="470"/>
      <c r="I44" s="9"/>
      <c r="J44" s="9"/>
      <c r="K44" s="9">
        <v>23000</v>
      </c>
      <c r="L44" s="9">
        <f>K44*30.126/1000</f>
        <v>692.898</v>
      </c>
      <c r="M44" s="9"/>
      <c r="N44" s="9"/>
      <c r="O44" s="9"/>
      <c r="P44" s="382"/>
      <c r="Q44" s="35"/>
      <c r="R44" s="8"/>
      <c r="S44" s="782"/>
      <c r="T44" s="9"/>
      <c r="U44" s="9"/>
      <c r="V44" s="139"/>
    </row>
    <row r="45" spans="1:22" s="30" customFormat="1" ht="15" customHeight="1" hidden="1">
      <c r="A45" s="116"/>
      <c r="B45" s="791" t="s">
        <v>1200</v>
      </c>
      <c r="C45" s="782"/>
      <c r="D45" s="382">
        <v>34</v>
      </c>
      <c r="E45" s="985"/>
      <c r="F45" s="986"/>
      <c r="G45" s="446"/>
      <c r="H45" s="470"/>
      <c r="I45" s="9"/>
      <c r="J45" s="9"/>
      <c r="K45" s="9"/>
      <c r="L45" s="9"/>
      <c r="M45" s="9"/>
      <c r="N45" s="9"/>
      <c r="O45" s="9"/>
      <c r="P45" s="382"/>
      <c r="Q45" s="35"/>
      <c r="R45" s="8"/>
      <c r="S45" s="782"/>
      <c r="T45" s="9"/>
      <c r="U45" s="9"/>
      <c r="V45" s="139"/>
    </row>
    <row r="46" spans="1:22" s="30" customFormat="1" ht="15" customHeight="1">
      <c r="A46" s="116"/>
      <c r="B46" s="789" t="s">
        <v>1196</v>
      </c>
      <c r="C46" s="782">
        <f aca="true" t="shared" si="21" ref="C46:N46">SUM(C47:C48)</f>
        <v>621</v>
      </c>
      <c r="D46" s="382">
        <f t="shared" si="21"/>
        <v>619</v>
      </c>
      <c r="E46" s="985">
        <f t="shared" si="21"/>
        <v>2950</v>
      </c>
      <c r="F46" s="986">
        <f t="shared" si="21"/>
        <v>88.8717</v>
      </c>
      <c r="G46" s="446">
        <f t="shared" si="21"/>
        <v>0</v>
      </c>
      <c r="H46" s="470">
        <f t="shared" si="21"/>
        <v>0</v>
      </c>
      <c r="I46" s="9">
        <f t="shared" si="21"/>
        <v>0</v>
      </c>
      <c r="J46" s="9">
        <f t="shared" si="21"/>
        <v>0</v>
      </c>
      <c r="K46" s="9">
        <f t="shared" si="21"/>
        <v>0</v>
      </c>
      <c r="L46" s="9">
        <f t="shared" si="21"/>
        <v>0</v>
      </c>
      <c r="M46" s="9">
        <f t="shared" si="21"/>
        <v>0</v>
      </c>
      <c r="N46" s="9">
        <f t="shared" si="21"/>
        <v>0</v>
      </c>
      <c r="O46" s="9">
        <f>SUM(O47:O48)</f>
        <v>0</v>
      </c>
      <c r="P46" s="382">
        <f>SUM(P47:P48)</f>
        <v>0</v>
      </c>
      <c r="Q46" s="35"/>
      <c r="R46" s="8"/>
      <c r="S46" s="782"/>
      <c r="T46" s="9"/>
      <c r="U46" s="9"/>
      <c r="V46" s="139"/>
    </row>
    <row r="47" spans="1:22" s="30" customFormat="1" ht="15" customHeight="1">
      <c r="A47" s="116"/>
      <c r="B47" s="791" t="s">
        <v>1173</v>
      </c>
      <c r="C47" s="782">
        <v>621</v>
      </c>
      <c r="D47" s="382">
        <v>15</v>
      </c>
      <c r="E47" s="985">
        <v>2950</v>
      </c>
      <c r="F47" s="986">
        <f>(E47*30.126)/1000</f>
        <v>88.8717</v>
      </c>
      <c r="G47" s="446"/>
      <c r="H47" s="470"/>
      <c r="I47" s="9"/>
      <c r="J47" s="9"/>
      <c r="K47" s="9"/>
      <c r="L47" s="9"/>
      <c r="M47" s="9"/>
      <c r="N47" s="9"/>
      <c r="O47" s="9"/>
      <c r="P47" s="382"/>
      <c r="Q47" s="35"/>
      <c r="R47" s="8"/>
      <c r="S47" s="782"/>
      <c r="T47" s="9"/>
      <c r="U47" s="9"/>
      <c r="V47" s="139"/>
    </row>
    <row r="48" spans="1:22" s="30" customFormat="1" ht="15" customHeight="1" hidden="1">
      <c r="A48" s="116"/>
      <c r="B48" s="791" t="s">
        <v>1174</v>
      </c>
      <c r="C48" s="782"/>
      <c r="D48" s="382">
        <v>604</v>
      </c>
      <c r="E48" s="985"/>
      <c r="F48" s="986"/>
      <c r="G48" s="446"/>
      <c r="H48" s="470"/>
      <c r="I48" s="9"/>
      <c r="J48" s="9"/>
      <c r="K48" s="9"/>
      <c r="L48" s="9"/>
      <c r="M48" s="9"/>
      <c r="N48" s="9"/>
      <c r="O48" s="9"/>
      <c r="P48" s="382"/>
      <c r="Q48" s="35"/>
      <c r="R48" s="8"/>
      <c r="S48" s="782"/>
      <c r="T48" s="9"/>
      <c r="U48" s="9"/>
      <c r="V48" s="139"/>
    </row>
    <row r="49" spans="1:22" s="30" customFormat="1" ht="15" customHeight="1">
      <c r="A49" s="116"/>
      <c r="B49" s="789" t="s">
        <v>1201</v>
      </c>
      <c r="C49" s="782">
        <f>SUM(C50:C53)</f>
        <v>0</v>
      </c>
      <c r="D49" s="382">
        <f aca="true" t="shared" si="22" ref="D49:N49">SUM(D50:D53)</f>
        <v>281</v>
      </c>
      <c r="E49" s="985">
        <f t="shared" si="22"/>
        <v>5200</v>
      </c>
      <c r="F49" s="986">
        <f t="shared" si="22"/>
        <v>156.6552</v>
      </c>
      <c r="G49" s="446">
        <f t="shared" si="22"/>
        <v>0</v>
      </c>
      <c r="H49" s="470">
        <f t="shared" si="22"/>
        <v>0</v>
      </c>
      <c r="I49" s="9">
        <f t="shared" si="22"/>
        <v>2000</v>
      </c>
      <c r="J49" s="9">
        <f t="shared" si="22"/>
        <v>60.252</v>
      </c>
      <c r="K49" s="9">
        <f t="shared" si="22"/>
        <v>0</v>
      </c>
      <c r="L49" s="9">
        <f t="shared" si="22"/>
        <v>0</v>
      </c>
      <c r="M49" s="9">
        <f t="shared" si="22"/>
        <v>0</v>
      </c>
      <c r="N49" s="9">
        <f t="shared" si="22"/>
        <v>0</v>
      </c>
      <c r="O49" s="9">
        <f>SUM(O50:O53)</f>
        <v>2000</v>
      </c>
      <c r="P49" s="382">
        <f>SUM(P50:P53)</f>
        <v>60.252</v>
      </c>
      <c r="Q49" s="35">
        <f>SUM(Q50:Q53)</f>
        <v>2000</v>
      </c>
      <c r="R49" s="8">
        <f>SUM(R50:R53)</f>
        <v>60.252</v>
      </c>
      <c r="S49" s="782"/>
      <c r="T49" s="9"/>
      <c r="U49" s="9"/>
      <c r="V49" s="139"/>
    </row>
    <row r="50" spans="1:22" s="30" customFormat="1" ht="15" customHeight="1" hidden="1">
      <c r="A50" s="116"/>
      <c r="B50" s="791" t="s">
        <v>1175</v>
      </c>
      <c r="C50" s="782"/>
      <c r="D50" s="382">
        <v>281</v>
      </c>
      <c r="E50" s="985"/>
      <c r="F50" s="986"/>
      <c r="G50" s="446"/>
      <c r="H50" s="470"/>
      <c r="I50" s="9"/>
      <c r="J50" s="9"/>
      <c r="K50" s="9"/>
      <c r="L50" s="9"/>
      <c r="M50" s="9"/>
      <c r="N50" s="9"/>
      <c r="O50" s="9"/>
      <c r="P50" s="382"/>
      <c r="Q50" s="35"/>
      <c r="R50" s="8"/>
      <c r="S50" s="782"/>
      <c r="T50" s="9"/>
      <c r="U50" s="9"/>
      <c r="V50" s="139"/>
    </row>
    <row r="51" spans="1:22" s="30" customFormat="1" ht="15" customHeight="1">
      <c r="A51" s="116"/>
      <c r="B51" s="791" t="s">
        <v>1141</v>
      </c>
      <c r="C51" s="782"/>
      <c r="D51" s="382"/>
      <c r="E51" s="985"/>
      <c r="F51" s="986"/>
      <c r="G51" s="446"/>
      <c r="H51" s="470"/>
      <c r="I51" s="9">
        <v>2000</v>
      </c>
      <c r="J51" s="9">
        <f>I51*30.126/1000</f>
        <v>60.252</v>
      </c>
      <c r="K51" s="9"/>
      <c r="L51" s="9"/>
      <c r="M51" s="9"/>
      <c r="N51" s="9"/>
      <c r="O51" s="9">
        <v>2000</v>
      </c>
      <c r="P51" s="382">
        <f>O51*30.126/1000</f>
        <v>60.252</v>
      </c>
      <c r="Q51" s="35">
        <v>2000</v>
      </c>
      <c r="R51" s="8">
        <f>Q51*30.126/1000</f>
        <v>60.252</v>
      </c>
      <c r="S51" s="782"/>
      <c r="T51" s="9"/>
      <c r="U51" s="9"/>
      <c r="V51" s="139"/>
    </row>
    <row r="52" spans="1:22" s="30" customFormat="1" ht="15" customHeight="1">
      <c r="A52" s="116"/>
      <c r="B52" s="791" t="s">
        <v>1176</v>
      </c>
      <c r="C52" s="782"/>
      <c r="D52" s="382"/>
      <c r="E52" s="985">
        <v>200</v>
      </c>
      <c r="F52" s="986">
        <f>(E52*30.126)/1000</f>
        <v>6.0252</v>
      </c>
      <c r="G52" s="446"/>
      <c r="H52" s="470"/>
      <c r="I52" s="9"/>
      <c r="J52" s="9"/>
      <c r="K52" s="9"/>
      <c r="L52" s="9"/>
      <c r="M52" s="9"/>
      <c r="N52" s="9"/>
      <c r="O52" s="9"/>
      <c r="P52" s="382"/>
      <c r="Q52" s="35"/>
      <c r="R52" s="8"/>
      <c r="S52" s="782"/>
      <c r="T52" s="9"/>
      <c r="U52" s="9"/>
      <c r="V52" s="139"/>
    </row>
    <row r="53" spans="1:22" s="30" customFormat="1" ht="15" customHeight="1">
      <c r="A53" s="116"/>
      <c r="B53" s="791" t="s">
        <v>529</v>
      </c>
      <c r="C53" s="782"/>
      <c r="D53" s="382"/>
      <c r="E53" s="985">
        <v>5000</v>
      </c>
      <c r="F53" s="986">
        <f>(E53*30.126)/1000</f>
        <v>150.63</v>
      </c>
      <c r="G53" s="446"/>
      <c r="H53" s="470"/>
      <c r="I53" s="9"/>
      <c r="J53" s="9"/>
      <c r="K53" s="9"/>
      <c r="L53" s="9"/>
      <c r="M53" s="9"/>
      <c r="N53" s="9"/>
      <c r="O53" s="9"/>
      <c r="P53" s="382"/>
      <c r="Q53" s="35"/>
      <c r="R53" s="8"/>
      <c r="S53" s="782"/>
      <c r="T53" s="9"/>
      <c r="U53" s="9"/>
      <c r="V53" s="139"/>
    </row>
    <row r="54" spans="1:22" s="30" customFormat="1" ht="15" customHeight="1">
      <c r="A54" s="116"/>
      <c r="B54" s="789" t="s">
        <v>1202</v>
      </c>
      <c r="C54" s="782">
        <f>SUM(C55:C56)</f>
        <v>49</v>
      </c>
      <c r="D54" s="382">
        <f>SUM(D55:D56)</f>
        <v>8</v>
      </c>
      <c r="E54" s="985">
        <f>SUM(E55:E56)</f>
        <v>16597</v>
      </c>
      <c r="F54" s="986">
        <f>SUM(F55:F56)</f>
        <v>500.001222</v>
      </c>
      <c r="G54" s="446">
        <f aca="true" t="shared" si="23" ref="G54:N54">SUM(G55:G56)</f>
        <v>8639</v>
      </c>
      <c r="H54" s="470">
        <f t="shared" si="23"/>
        <v>260.258514</v>
      </c>
      <c r="I54" s="9">
        <f t="shared" si="23"/>
        <v>8639</v>
      </c>
      <c r="J54" s="9">
        <f t="shared" si="23"/>
        <v>260.258514</v>
      </c>
      <c r="K54" s="9">
        <f t="shared" si="23"/>
        <v>0</v>
      </c>
      <c r="L54" s="9">
        <f t="shared" si="23"/>
        <v>0</v>
      </c>
      <c r="M54" s="9">
        <f t="shared" si="23"/>
        <v>0</v>
      </c>
      <c r="N54" s="9">
        <f t="shared" si="23"/>
        <v>0</v>
      </c>
      <c r="O54" s="9">
        <f>SUM(O55:O56)</f>
        <v>8639</v>
      </c>
      <c r="P54" s="382">
        <f>SUM(P55:P56)</f>
        <v>260.258514</v>
      </c>
      <c r="Q54" s="35">
        <f>SUM(Q55:Q56)</f>
        <v>8639</v>
      </c>
      <c r="R54" s="8">
        <f>SUM(R55:R56)</f>
        <v>260.258514</v>
      </c>
      <c r="S54" s="782"/>
      <c r="T54" s="9"/>
      <c r="U54" s="9"/>
      <c r="V54" s="139"/>
    </row>
    <row r="55" spans="1:22" s="30" customFormat="1" ht="15" customHeight="1">
      <c r="A55" s="116"/>
      <c r="B55" s="791" t="s">
        <v>1177</v>
      </c>
      <c r="C55" s="782"/>
      <c r="D55" s="382"/>
      <c r="E55" s="985">
        <v>6639</v>
      </c>
      <c r="F55" s="986">
        <f>(E55*30.126)/1000</f>
        <v>200.00651399999998</v>
      </c>
      <c r="G55" s="446">
        <v>6639</v>
      </c>
      <c r="H55" s="470">
        <f>G55*30.126/1000</f>
        <v>200.00651399999998</v>
      </c>
      <c r="I55" s="9">
        <v>6639</v>
      </c>
      <c r="J55" s="9">
        <f>I55*30.126/1000</f>
        <v>200.00651399999998</v>
      </c>
      <c r="K55" s="9"/>
      <c r="L55" s="9"/>
      <c r="M55" s="9"/>
      <c r="N55" s="9"/>
      <c r="O55" s="9">
        <v>6639</v>
      </c>
      <c r="P55" s="382">
        <f>O55*30.126/1000</f>
        <v>200.00651399999998</v>
      </c>
      <c r="Q55" s="35">
        <v>6639</v>
      </c>
      <c r="R55" s="8">
        <f>Q55*30.126/1000</f>
        <v>200.00651399999998</v>
      </c>
      <c r="S55" s="782"/>
      <c r="T55" s="9"/>
      <c r="U55" s="9"/>
      <c r="V55" s="139"/>
    </row>
    <row r="56" spans="1:22" s="30" customFormat="1" ht="15" customHeight="1">
      <c r="A56" s="116"/>
      <c r="B56" s="791" t="s">
        <v>427</v>
      </c>
      <c r="C56" s="782">
        <v>49</v>
      </c>
      <c r="D56" s="382">
        <v>8</v>
      </c>
      <c r="E56" s="985">
        <v>9958</v>
      </c>
      <c r="F56" s="986">
        <f>(E56*30.126)/1000</f>
        <v>299.994708</v>
      </c>
      <c r="G56" s="446">
        <v>2000</v>
      </c>
      <c r="H56" s="470">
        <f>G56*30.126/1000</f>
        <v>60.252</v>
      </c>
      <c r="I56" s="9">
        <v>2000</v>
      </c>
      <c r="J56" s="9">
        <f>I56*30.126/1000</f>
        <v>60.252</v>
      </c>
      <c r="K56" s="9"/>
      <c r="L56" s="9"/>
      <c r="M56" s="9"/>
      <c r="N56" s="9"/>
      <c r="O56" s="9">
        <v>2000</v>
      </c>
      <c r="P56" s="382">
        <f>O56*30.126/1000</f>
        <v>60.252</v>
      </c>
      <c r="Q56" s="35">
        <v>2000</v>
      </c>
      <c r="R56" s="8">
        <f>Q56*30.126/1000</f>
        <v>60.252</v>
      </c>
      <c r="S56" s="782"/>
      <c r="T56" s="9"/>
      <c r="U56" s="9"/>
      <c r="V56" s="139"/>
    </row>
    <row r="57" spans="1:22" s="30" customFormat="1" ht="15" customHeight="1">
      <c r="A57" s="116"/>
      <c r="B57" s="789" t="s">
        <v>1203</v>
      </c>
      <c r="C57" s="782">
        <f>SUM(C58:C63)</f>
        <v>0</v>
      </c>
      <c r="D57" s="382">
        <f>SUM(D58:D63)</f>
        <v>97</v>
      </c>
      <c r="E57" s="985">
        <f aca="true" t="shared" si="24" ref="E57:N57">SUM(E58:E63)</f>
        <v>18409</v>
      </c>
      <c r="F57" s="986">
        <f t="shared" si="24"/>
        <v>554.589534</v>
      </c>
      <c r="G57" s="446">
        <f t="shared" si="24"/>
        <v>19916</v>
      </c>
      <c r="H57" s="470">
        <f t="shared" si="24"/>
        <v>599.989416</v>
      </c>
      <c r="I57" s="9">
        <f t="shared" si="24"/>
        <v>19916</v>
      </c>
      <c r="J57" s="9">
        <f t="shared" si="24"/>
        <v>599.989416</v>
      </c>
      <c r="K57" s="9">
        <f t="shared" si="24"/>
        <v>0</v>
      </c>
      <c r="L57" s="9">
        <f t="shared" si="24"/>
        <v>0</v>
      </c>
      <c r="M57" s="9">
        <f t="shared" si="24"/>
        <v>0</v>
      </c>
      <c r="N57" s="9">
        <f t="shared" si="24"/>
        <v>0</v>
      </c>
      <c r="O57" s="9">
        <f>SUM(O58:O63)</f>
        <v>19916</v>
      </c>
      <c r="P57" s="382">
        <f>SUM(P58:P63)</f>
        <v>599.989416</v>
      </c>
      <c r="Q57" s="35">
        <f>SUM(Q58:Q63)</f>
        <v>19916</v>
      </c>
      <c r="R57" s="8">
        <f>SUM(R58:R63)</f>
        <v>599.989416</v>
      </c>
      <c r="S57" s="782"/>
      <c r="T57" s="9"/>
      <c r="U57" s="9"/>
      <c r="V57" s="139"/>
    </row>
    <row r="58" spans="1:22" s="30" customFormat="1" ht="15" customHeight="1">
      <c r="A58" s="116"/>
      <c r="B58" s="791" t="s">
        <v>517</v>
      </c>
      <c r="C58" s="782"/>
      <c r="D58" s="382"/>
      <c r="E58" s="985"/>
      <c r="F58" s="986"/>
      <c r="G58" s="446">
        <v>19916</v>
      </c>
      <c r="H58" s="470">
        <f>G58*30.126/1000</f>
        <v>599.989416</v>
      </c>
      <c r="I58" s="9">
        <v>19916</v>
      </c>
      <c r="J58" s="9">
        <f>I58*30.126/1000</f>
        <v>599.989416</v>
      </c>
      <c r="K58" s="9"/>
      <c r="L58" s="9"/>
      <c r="M58" s="9"/>
      <c r="N58" s="9"/>
      <c r="O58" s="9">
        <v>19916</v>
      </c>
      <c r="P58" s="382">
        <f>O58*30.126/1000</f>
        <v>599.989416</v>
      </c>
      <c r="Q58" s="35">
        <v>19916</v>
      </c>
      <c r="R58" s="8">
        <f>Q58*30.126/1000</f>
        <v>599.989416</v>
      </c>
      <c r="S58" s="782"/>
      <c r="T58" s="9"/>
      <c r="U58" s="9"/>
      <c r="V58" s="139"/>
    </row>
    <row r="59" spans="1:22" s="30" customFormat="1" ht="15" customHeight="1">
      <c r="A59" s="116"/>
      <c r="B59" s="791" t="s">
        <v>1178</v>
      </c>
      <c r="C59" s="782"/>
      <c r="D59" s="382">
        <v>60</v>
      </c>
      <c r="E59" s="985">
        <v>9958</v>
      </c>
      <c r="F59" s="986">
        <f>(E59*30.126)/1000</f>
        <v>299.994708</v>
      </c>
      <c r="G59" s="446"/>
      <c r="H59" s="471"/>
      <c r="I59" s="9"/>
      <c r="J59" s="73"/>
      <c r="K59" s="73"/>
      <c r="L59" s="73"/>
      <c r="M59" s="9"/>
      <c r="N59" s="73"/>
      <c r="O59" s="9"/>
      <c r="P59" s="458"/>
      <c r="Q59" s="35"/>
      <c r="R59" s="74"/>
      <c r="S59" s="782"/>
      <c r="T59" s="73"/>
      <c r="U59" s="9"/>
      <c r="V59" s="481"/>
    </row>
    <row r="60" spans="1:22" s="30" customFormat="1" ht="15" customHeight="1" hidden="1">
      <c r="A60" s="116"/>
      <c r="B60" s="791" t="s">
        <v>1179</v>
      </c>
      <c r="C60" s="782"/>
      <c r="D60" s="382">
        <v>37</v>
      </c>
      <c r="E60" s="985"/>
      <c r="F60" s="986"/>
      <c r="G60" s="446"/>
      <c r="H60" s="471"/>
      <c r="I60" s="9"/>
      <c r="J60" s="73"/>
      <c r="K60" s="73"/>
      <c r="L60" s="73"/>
      <c r="M60" s="9"/>
      <c r="N60" s="73"/>
      <c r="O60" s="9"/>
      <c r="P60" s="458"/>
      <c r="Q60" s="35"/>
      <c r="R60" s="74"/>
      <c r="S60" s="782"/>
      <c r="T60" s="73"/>
      <c r="U60" s="9"/>
      <c r="V60" s="481"/>
    </row>
    <row r="61" spans="1:22" s="30" customFormat="1" ht="15" customHeight="1">
      <c r="A61" s="116"/>
      <c r="B61" s="791" t="s">
        <v>530</v>
      </c>
      <c r="C61" s="782"/>
      <c r="D61" s="382"/>
      <c r="E61" s="985">
        <v>2500</v>
      </c>
      <c r="F61" s="986">
        <f>(E61*30.126)/1000</f>
        <v>75.315</v>
      </c>
      <c r="G61" s="446"/>
      <c r="H61" s="471"/>
      <c r="I61" s="9"/>
      <c r="J61" s="73"/>
      <c r="K61" s="73"/>
      <c r="L61" s="73"/>
      <c r="M61" s="9"/>
      <c r="N61" s="73"/>
      <c r="O61" s="9"/>
      <c r="P61" s="458"/>
      <c r="Q61" s="35"/>
      <c r="R61" s="74"/>
      <c r="S61" s="782"/>
      <c r="T61" s="73"/>
      <c r="U61" s="9"/>
      <c r="V61" s="481"/>
    </row>
    <row r="62" spans="1:22" s="30" customFormat="1" ht="15" customHeight="1">
      <c r="A62" s="116"/>
      <c r="B62" s="791" t="s">
        <v>531</v>
      </c>
      <c r="C62" s="782"/>
      <c r="D62" s="382"/>
      <c r="E62" s="985">
        <v>2200</v>
      </c>
      <c r="F62" s="986">
        <f>(E62*30.126)/1000</f>
        <v>66.2772</v>
      </c>
      <c r="G62" s="446"/>
      <c r="H62" s="471"/>
      <c r="I62" s="9"/>
      <c r="J62" s="73"/>
      <c r="K62" s="73"/>
      <c r="L62" s="73"/>
      <c r="M62" s="9"/>
      <c r="N62" s="73"/>
      <c r="O62" s="9"/>
      <c r="P62" s="458"/>
      <c r="Q62" s="35"/>
      <c r="R62" s="74"/>
      <c r="S62" s="782"/>
      <c r="T62" s="73"/>
      <c r="U62" s="9"/>
      <c r="V62" s="481"/>
    </row>
    <row r="63" spans="1:22" s="30" customFormat="1" ht="15" customHeight="1">
      <c r="A63" s="152"/>
      <c r="B63" s="791" t="s">
        <v>1180</v>
      </c>
      <c r="C63" s="782"/>
      <c r="D63" s="382"/>
      <c r="E63" s="985">
        <v>3751</v>
      </c>
      <c r="F63" s="986">
        <f>(E63*30.126)/1000</f>
        <v>113.002626</v>
      </c>
      <c r="G63" s="446"/>
      <c r="H63" s="471"/>
      <c r="I63" s="9"/>
      <c r="J63" s="73"/>
      <c r="K63" s="73"/>
      <c r="L63" s="73"/>
      <c r="M63" s="9"/>
      <c r="N63" s="73"/>
      <c r="O63" s="9"/>
      <c r="P63" s="458"/>
      <c r="Q63" s="35"/>
      <c r="R63" s="74"/>
      <c r="S63" s="782"/>
      <c r="T63" s="73"/>
      <c r="U63" s="9"/>
      <c r="V63" s="481"/>
    </row>
    <row r="64" spans="1:22" s="30" customFormat="1" ht="15" customHeight="1">
      <c r="A64" s="130" t="s">
        <v>22</v>
      </c>
      <c r="B64" s="790" t="s">
        <v>1181</v>
      </c>
      <c r="C64" s="783">
        <f aca="true" t="shared" si="25" ref="C64:N64">C65+C79+C89+C94+C104</f>
        <v>18034</v>
      </c>
      <c r="D64" s="458">
        <f t="shared" si="25"/>
        <v>61930</v>
      </c>
      <c r="E64" s="987">
        <f t="shared" si="25"/>
        <v>5232359</v>
      </c>
      <c r="F64" s="988">
        <f t="shared" si="25"/>
        <v>157629.70354000002</v>
      </c>
      <c r="G64" s="466">
        <f t="shared" si="25"/>
        <v>2053761</v>
      </c>
      <c r="H64" s="471">
        <f t="shared" si="25"/>
        <v>61871.603886</v>
      </c>
      <c r="I64" s="73">
        <f t="shared" si="25"/>
        <v>2053761</v>
      </c>
      <c r="J64" s="73">
        <f t="shared" si="25"/>
        <v>61871.603886</v>
      </c>
      <c r="K64" s="73">
        <f t="shared" si="25"/>
        <v>3620000</v>
      </c>
      <c r="L64" s="73">
        <f t="shared" si="25"/>
        <v>109056.12000000001</v>
      </c>
      <c r="M64" s="73">
        <f t="shared" si="25"/>
        <v>0</v>
      </c>
      <c r="N64" s="73">
        <f t="shared" si="25"/>
        <v>0</v>
      </c>
      <c r="O64" s="73">
        <f>O65+O79+O89+O94+O104</f>
        <v>2053761</v>
      </c>
      <c r="P64" s="458">
        <f>P65+P79+P89+P94+P104</f>
        <v>61871.603886</v>
      </c>
      <c r="Q64" s="663">
        <f>Q65+Q79+Q89+Q94+Q104</f>
        <v>2328681</v>
      </c>
      <c r="R64" s="74">
        <f>R65+R79+R89+R94+R104</f>
        <v>70153.84380599999</v>
      </c>
      <c r="S64" s="783"/>
      <c r="T64" s="73"/>
      <c r="U64" s="73"/>
      <c r="V64" s="481"/>
    </row>
    <row r="65" spans="1:22" s="30" customFormat="1" ht="15" customHeight="1">
      <c r="A65" s="158"/>
      <c r="B65" s="789" t="s">
        <v>1195</v>
      </c>
      <c r="C65" s="782">
        <f>SUM(C66:C78)</f>
        <v>1647</v>
      </c>
      <c r="D65" s="382">
        <f aca="true" t="shared" si="26" ref="D65:N65">SUM(D66:D78)</f>
        <v>23716</v>
      </c>
      <c r="E65" s="985">
        <f t="shared" si="26"/>
        <v>1918520</v>
      </c>
      <c r="F65" s="986">
        <f t="shared" si="26"/>
        <v>57796.989826</v>
      </c>
      <c r="G65" s="446">
        <f t="shared" si="26"/>
        <v>552000</v>
      </c>
      <c r="H65" s="470">
        <f t="shared" si="26"/>
        <v>16629.552</v>
      </c>
      <c r="I65" s="9">
        <f t="shared" si="26"/>
        <v>552000</v>
      </c>
      <c r="J65" s="9">
        <f t="shared" si="26"/>
        <v>16629.552</v>
      </c>
      <c r="K65" s="9">
        <f t="shared" si="26"/>
        <v>2020000</v>
      </c>
      <c r="L65" s="9">
        <f t="shared" si="26"/>
        <v>60854.520000000004</v>
      </c>
      <c r="M65" s="9">
        <f t="shared" si="26"/>
        <v>0</v>
      </c>
      <c r="N65" s="9">
        <f t="shared" si="26"/>
        <v>0</v>
      </c>
      <c r="O65" s="9">
        <f>SUM(O66:O78)</f>
        <v>552000</v>
      </c>
      <c r="P65" s="382">
        <f>SUM(P66:P78)</f>
        <v>16629.552</v>
      </c>
      <c r="Q65" s="35">
        <f>SUM(Q66:Q78)</f>
        <v>585428</v>
      </c>
      <c r="R65" s="8">
        <f>SUM(R66:R78)</f>
        <v>17636.603928</v>
      </c>
      <c r="S65" s="782"/>
      <c r="T65" s="9"/>
      <c r="U65" s="9"/>
      <c r="V65" s="139"/>
    </row>
    <row r="66" spans="1:22" s="30" customFormat="1" ht="15" customHeight="1">
      <c r="A66" s="116"/>
      <c r="B66" s="791" t="s">
        <v>1197</v>
      </c>
      <c r="C66" s="782"/>
      <c r="D66" s="382"/>
      <c r="E66" s="985"/>
      <c r="F66" s="986"/>
      <c r="G66" s="446">
        <v>332000</v>
      </c>
      <c r="H66" s="470">
        <f>G66*30.126/1000</f>
        <v>10001.832</v>
      </c>
      <c r="I66" s="9">
        <v>332000</v>
      </c>
      <c r="J66" s="9">
        <f>I66*30.126/1000</f>
        <v>10001.832</v>
      </c>
      <c r="K66" s="9"/>
      <c r="L66" s="9"/>
      <c r="M66" s="9"/>
      <c r="N66" s="9"/>
      <c r="O66" s="9">
        <v>332000</v>
      </c>
      <c r="P66" s="382">
        <f>O66*30.126/1000</f>
        <v>10001.832</v>
      </c>
      <c r="Q66" s="35">
        <v>332000</v>
      </c>
      <c r="R66" s="8">
        <f>Q66*30.126/1000</f>
        <v>10001.832</v>
      </c>
      <c r="S66" s="782"/>
      <c r="T66" s="9"/>
      <c r="U66" s="9"/>
      <c r="V66" s="139"/>
    </row>
    <row r="67" spans="1:22" s="30" customFormat="1" ht="15" customHeight="1" hidden="1">
      <c r="A67" s="116"/>
      <c r="B67" s="791" t="s">
        <v>1204</v>
      </c>
      <c r="C67" s="782"/>
      <c r="D67" s="382">
        <v>3722</v>
      </c>
      <c r="E67" s="985"/>
      <c r="F67" s="986"/>
      <c r="G67" s="446"/>
      <c r="H67" s="470"/>
      <c r="I67" s="9"/>
      <c r="J67" s="9">
        <f aca="true" t="shared" si="27" ref="J67:J76">I67*30.126/1000</f>
        <v>0</v>
      </c>
      <c r="K67" s="9"/>
      <c r="L67" s="9"/>
      <c r="M67" s="9"/>
      <c r="N67" s="9"/>
      <c r="O67" s="9"/>
      <c r="P67" s="382">
        <f aca="true" t="shared" si="28" ref="P67:R76">O67*30.126/1000</f>
        <v>0</v>
      </c>
      <c r="Q67" s="35"/>
      <c r="R67" s="8">
        <f t="shared" si="28"/>
        <v>0</v>
      </c>
      <c r="S67" s="782"/>
      <c r="T67" s="9"/>
      <c r="U67" s="9"/>
      <c r="V67" s="139"/>
    </row>
    <row r="68" spans="1:22" s="30" customFormat="1" ht="15" customHeight="1" hidden="1">
      <c r="A68" s="116"/>
      <c r="B68" s="791" t="s">
        <v>518</v>
      </c>
      <c r="C68" s="782">
        <v>214</v>
      </c>
      <c r="D68" s="382"/>
      <c r="E68" s="985"/>
      <c r="F68" s="986"/>
      <c r="G68" s="446"/>
      <c r="H68" s="470"/>
      <c r="I68" s="9"/>
      <c r="J68" s="9">
        <f t="shared" si="27"/>
        <v>0</v>
      </c>
      <c r="K68" s="9"/>
      <c r="L68" s="9"/>
      <c r="M68" s="9"/>
      <c r="N68" s="9"/>
      <c r="O68" s="9"/>
      <c r="P68" s="382">
        <f t="shared" si="28"/>
        <v>0</v>
      </c>
      <c r="Q68" s="35"/>
      <c r="R68" s="8">
        <f t="shared" si="28"/>
        <v>0</v>
      </c>
      <c r="S68" s="782"/>
      <c r="T68" s="9"/>
      <c r="U68" s="9"/>
      <c r="V68" s="139"/>
    </row>
    <row r="69" spans="1:22" s="30" customFormat="1" ht="15" customHeight="1" hidden="1">
      <c r="A69" s="116"/>
      <c r="B69" s="791" t="s">
        <v>520</v>
      </c>
      <c r="C69" s="782"/>
      <c r="D69" s="382"/>
      <c r="E69" s="985"/>
      <c r="F69" s="986"/>
      <c r="G69" s="446"/>
      <c r="H69" s="470"/>
      <c r="I69" s="9"/>
      <c r="J69" s="9">
        <f t="shared" si="27"/>
        <v>0</v>
      </c>
      <c r="K69" s="9">
        <v>1000000</v>
      </c>
      <c r="L69" s="9">
        <f>K69*30.126/1000</f>
        <v>30126</v>
      </c>
      <c r="M69" s="9"/>
      <c r="N69" s="9"/>
      <c r="O69" s="9"/>
      <c r="P69" s="382">
        <f t="shared" si="28"/>
        <v>0</v>
      </c>
      <c r="Q69" s="35"/>
      <c r="R69" s="8">
        <f t="shared" si="28"/>
        <v>0</v>
      </c>
      <c r="S69" s="782"/>
      <c r="T69" s="9"/>
      <c r="U69" s="9"/>
      <c r="V69" s="139"/>
    </row>
    <row r="70" spans="1:22" s="30" customFormat="1" ht="15" customHeight="1">
      <c r="A70" s="116"/>
      <c r="B70" s="791" t="s">
        <v>1229</v>
      </c>
      <c r="C70" s="782"/>
      <c r="D70" s="382"/>
      <c r="E70" s="985"/>
      <c r="F70" s="986"/>
      <c r="G70" s="446">
        <v>220000</v>
      </c>
      <c r="H70" s="470">
        <f>G70*30.126/1000</f>
        <v>6627.72</v>
      </c>
      <c r="I70" s="9">
        <v>220000</v>
      </c>
      <c r="J70" s="9">
        <f t="shared" si="27"/>
        <v>6627.72</v>
      </c>
      <c r="K70" s="9"/>
      <c r="L70" s="9"/>
      <c r="M70" s="9"/>
      <c r="N70" s="9"/>
      <c r="O70" s="9">
        <v>220000</v>
      </c>
      <c r="P70" s="382">
        <f t="shared" si="28"/>
        <v>6627.72</v>
      </c>
      <c r="Q70" s="35">
        <v>120428</v>
      </c>
      <c r="R70" s="8">
        <f t="shared" si="28"/>
        <v>3628.0139280000003</v>
      </c>
      <c r="S70" s="782"/>
      <c r="T70" s="9"/>
      <c r="U70" s="9"/>
      <c r="V70" s="139"/>
    </row>
    <row r="71" spans="1:22" s="30" customFormat="1" ht="15" customHeight="1" hidden="1">
      <c r="A71" s="116"/>
      <c r="B71" s="791" t="s">
        <v>513</v>
      </c>
      <c r="C71" s="782"/>
      <c r="D71" s="382"/>
      <c r="E71" s="985"/>
      <c r="F71" s="986"/>
      <c r="G71" s="446"/>
      <c r="H71" s="470"/>
      <c r="I71" s="9"/>
      <c r="J71" s="9">
        <f t="shared" si="27"/>
        <v>0</v>
      </c>
      <c r="K71" s="9">
        <v>120000</v>
      </c>
      <c r="L71" s="9">
        <f>K71*30.126/1000</f>
        <v>3615.12</v>
      </c>
      <c r="M71" s="9"/>
      <c r="N71" s="9"/>
      <c r="O71" s="9"/>
      <c r="P71" s="382">
        <f t="shared" si="28"/>
        <v>0</v>
      </c>
      <c r="Q71" s="35"/>
      <c r="R71" s="8">
        <f t="shared" si="28"/>
        <v>0</v>
      </c>
      <c r="S71" s="782"/>
      <c r="T71" s="9"/>
      <c r="U71" s="9"/>
      <c r="V71" s="139"/>
    </row>
    <row r="72" spans="1:22" s="30" customFormat="1" ht="15" customHeight="1">
      <c r="A72" s="116"/>
      <c r="B72" s="791" t="s">
        <v>514</v>
      </c>
      <c r="C72" s="782"/>
      <c r="D72" s="382"/>
      <c r="E72" s="985"/>
      <c r="F72" s="986"/>
      <c r="G72" s="446"/>
      <c r="H72" s="470"/>
      <c r="I72" s="9"/>
      <c r="J72" s="9">
        <f t="shared" si="27"/>
        <v>0</v>
      </c>
      <c r="K72" s="9">
        <v>550000</v>
      </c>
      <c r="L72" s="9">
        <f>K72*30.126/1000</f>
        <v>16569.3</v>
      </c>
      <c r="M72" s="9"/>
      <c r="N72" s="9"/>
      <c r="O72" s="9"/>
      <c r="P72" s="382">
        <f t="shared" si="28"/>
        <v>0</v>
      </c>
      <c r="Q72" s="35">
        <v>133000</v>
      </c>
      <c r="R72" s="8">
        <f t="shared" si="28"/>
        <v>4006.758</v>
      </c>
      <c r="S72" s="782"/>
      <c r="T72" s="9"/>
      <c r="U72" s="9"/>
      <c r="V72" s="139"/>
    </row>
    <row r="73" spans="1:22" s="30" customFormat="1" ht="15" customHeight="1" hidden="1">
      <c r="A73" s="116"/>
      <c r="B73" s="791" t="s">
        <v>515</v>
      </c>
      <c r="C73" s="782"/>
      <c r="D73" s="382"/>
      <c r="E73" s="985"/>
      <c r="F73" s="986"/>
      <c r="G73" s="446"/>
      <c r="H73" s="470"/>
      <c r="I73" s="9"/>
      <c r="J73" s="9">
        <f t="shared" si="27"/>
        <v>0</v>
      </c>
      <c r="K73" s="9">
        <v>120000</v>
      </c>
      <c r="L73" s="9">
        <f>K73*30.126/1000</f>
        <v>3615.12</v>
      </c>
      <c r="M73" s="9"/>
      <c r="N73" s="9"/>
      <c r="O73" s="9"/>
      <c r="P73" s="382">
        <f t="shared" si="28"/>
        <v>0</v>
      </c>
      <c r="Q73" s="35"/>
      <c r="R73" s="8">
        <f t="shared" si="28"/>
        <v>0</v>
      </c>
      <c r="S73" s="782"/>
      <c r="T73" s="9"/>
      <c r="U73" s="9"/>
      <c r="V73" s="139"/>
    </row>
    <row r="74" spans="1:22" s="30" customFormat="1" ht="15" customHeight="1" hidden="1">
      <c r="A74" s="116"/>
      <c r="B74" s="791" t="s">
        <v>1230</v>
      </c>
      <c r="C74" s="782"/>
      <c r="D74" s="382"/>
      <c r="E74" s="985"/>
      <c r="F74" s="986"/>
      <c r="G74" s="446"/>
      <c r="H74" s="470"/>
      <c r="I74" s="9"/>
      <c r="J74" s="9">
        <f t="shared" si="27"/>
        <v>0</v>
      </c>
      <c r="K74" s="9">
        <v>230000</v>
      </c>
      <c r="L74" s="9">
        <f>K74*30.126/1000</f>
        <v>6928.98</v>
      </c>
      <c r="M74" s="9"/>
      <c r="N74" s="9"/>
      <c r="O74" s="9"/>
      <c r="P74" s="382">
        <f t="shared" si="28"/>
        <v>0</v>
      </c>
      <c r="Q74" s="35"/>
      <c r="R74" s="8">
        <f t="shared" si="28"/>
        <v>0</v>
      </c>
      <c r="S74" s="782"/>
      <c r="T74" s="9"/>
      <c r="U74" s="9"/>
      <c r="V74" s="139"/>
    </row>
    <row r="75" spans="1:22" s="30" customFormat="1" ht="15" customHeight="1" hidden="1">
      <c r="A75" s="116"/>
      <c r="B75" s="791" t="s">
        <v>555</v>
      </c>
      <c r="C75" s="782">
        <v>72</v>
      </c>
      <c r="D75" s="382"/>
      <c r="E75" s="985"/>
      <c r="F75" s="986"/>
      <c r="G75" s="446"/>
      <c r="H75" s="470"/>
      <c r="I75" s="9"/>
      <c r="J75" s="9">
        <f t="shared" si="27"/>
        <v>0</v>
      </c>
      <c r="K75" s="9"/>
      <c r="L75" s="9"/>
      <c r="M75" s="9"/>
      <c r="N75" s="9"/>
      <c r="O75" s="9"/>
      <c r="P75" s="382">
        <f t="shared" si="28"/>
        <v>0</v>
      </c>
      <c r="Q75" s="35"/>
      <c r="R75" s="8">
        <f t="shared" si="28"/>
        <v>0</v>
      </c>
      <c r="S75" s="782"/>
      <c r="T75" s="9"/>
      <c r="U75" s="9"/>
      <c r="V75" s="139"/>
    </row>
    <row r="76" spans="1:22" s="30" customFormat="1" ht="15" customHeight="1" hidden="1">
      <c r="A76" s="116"/>
      <c r="B76" s="791" t="s">
        <v>519</v>
      </c>
      <c r="C76" s="782">
        <v>1361</v>
      </c>
      <c r="D76" s="382"/>
      <c r="E76" s="985"/>
      <c r="F76" s="986"/>
      <c r="G76" s="446"/>
      <c r="H76" s="470"/>
      <c r="I76" s="9"/>
      <c r="J76" s="9">
        <f t="shared" si="27"/>
        <v>0</v>
      </c>
      <c r="K76" s="9"/>
      <c r="L76" s="9"/>
      <c r="M76" s="9"/>
      <c r="N76" s="9"/>
      <c r="O76" s="9"/>
      <c r="P76" s="382">
        <f t="shared" si="28"/>
        <v>0</v>
      </c>
      <c r="Q76" s="35"/>
      <c r="R76" s="8">
        <f t="shared" si="28"/>
        <v>0</v>
      </c>
      <c r="S76" s="782"/>
      <c r="T76" s="9"/>
      <c r="U76" s="9"/>
      <c r="V76" s="139"/>
    </row>
    <row r="77" spans="1:22" s="30" customFormat="1" ht="15" customHeight="1">
      <c r="A77" s="116"/>
      <c r="B77" s="791" t="s">
        <v>532</v>
      </c>
      <c r="C77" s="782"/>
      <c r="D77" s="382"/>
      <c r="E77" s="985">
        <v>1827569</v>
      </c>
      <c r="F77" s="986">
        <v>55057</v>
      </c>
      <c r="G77" s="446"/>
      <c r="H77" s="470"/>
      <c r="I77" s="9"/>
      <c r="J77" s="9"/>
      <c r="K77" s="9"/>
      <c r="L77" s="9"/>
      <c r="M77" s="9"/>
      <c r="N77" s="9"/>
      <c r="O77" s="9"/>
      <c r="P77" s="382"/>
      <c r="Q77" s="35"/>
      <c r="R77" s="8"/>
      <c r="S77" s="782"/>
      <c r="T77" s="9"/>
      <c r="U77" s="9"/>
      <c r="V77" s="139"/>
    </row>
    <row r="78" spans="1:22" s="30" customFormat="1" ht="15" customHeight="1">
      <c r="A78" s="116"/>
      <c r="B78" s="791" t="s">
        <v>1205</v>
      </c>
      <c r="C78" s="782"/>
      <c r="D78" s="382">
        <v>19994</v>
      </c>
      <c r="E78" s="985">
        <v>90951</v>
      </c>
      <c r="F78" s="986">
        <f>(E78*30.126)/1000</f>
        <v>2739.989826</v>
      </c>
      <c r="G78" s="446"/>
      <c r="H78" s="470"/>
      <c r="I78" s="9"/>
      <c r="J78" s="9"/>
      <c r="K78" s="9"/>
      <c r="L78" s="9"/>
      <c r="M78" s="9"/>
      <c r="N78" s="9"/>
      <c r="O78" s="9"/>
      <c r="P78" s="382"/>
      <c r="Q78" s="35"/>
      <c r="R78" s="8"/>
      <c r="S78" s="782"/>
      <c r="T78" s="9"/>
      <c r="U78" s="9"/>
      <c r="V78" s="139"/>
    </row>
    <row r="79" spans="1:22" s="30" customFormat="1" ht="15" customHeight="1">
      <c r="A79" s="116"/>
      <c r="B79" s="789" t="s">
        <v>1201</v>
      </c>
      <c r="C79" s="783">
        <f>SUM(C80:C88)</f>
        <v>5139</v>
      </c>
      <c r="D79" s="458">
        <f aca="true" t="shared" si="29" ref="D79:N79">SUM(D80:D88)</f>
        <v>15762</v>
      </c>
      <c r="E79" s="987">
        <f t="shared" si="29"/>
        <v>82055</v>
      </c>
      <c r="F79" s="988">
        <f t="shared" si="29"/>
        <v>2471.98893</v>
      </c>
      <c r="G79" s="466">
        <f t="shared" si="29"/>
        <v>109555</v>
      </c>
      <c r="H79" s="471">
        <f t="shared" si="29"/>
        <v>3300.45393</v>
      </c>
      <c r="I79" s="73">
        <f t="shared" si="29"/>
        <v>109555</v>
      </c>
      <c r="J79" s="73">
        <f t="shared" si="29"/>
        <v>3300.45393</v>
      </c>
      <c r="K79" s="73">
        <f t="shared" si="29"/>
        <v>430000</v>
      </c>
      <c r="L79" s="73">
        <f t="shared" si="29"/>
        <v>12954.18</v>
      </c>
      <c r="M79" s="73">
        <f t="shared" si="29"/>
        <v>0</v>
      </c>
      <c r="N79" s="73">
        <f t="shared" si="29"/>
        <v>0</v>
      </c>
      <c r="O79" s="73">
        <f>SUM(O80:O88)</f>
        <v>109555</v>
      </c>
      <c r="P79" s="458">
        <f>SUM(P80:P88)</f>
        <v>3300.45393</v>
      </c>
      <c r="Q79" s="663">
        <f>SUM(Q80:Q88)</f>
        <v>109555</v>
      </c>
      <c r="R79" s="74">
        <f>SUM(R80:R88)</f>
        <v>3300.45393</v>
      </c>
      <c r="S79" s="783"/>
      <c r="T79" s="73"/>
      <c r="U79" s="73"/>
      <c r="V79" s="481"/>
    </row>
    <row r="80" spans="1:22" s="30" customFormat="1" ht="15" customHeight="1" hidden="1">
      <c r="A80" s="116"/>
      <c r="B80" s="791" t="s">
        <v>526</v>
      </c>
      <c r="C80" s="783">
        <v>251</v>
      </c>
      <c r="D80" s="458"/>
      <c r="E80" s="987"/>
      <c r="F80" s="988"/>
      <c r="G80" s="466"/>
      <c r="H80" s="471"/>
      <c r="I80" s="73"/>
      <c r="J80" s="73"/>
      <c r="K80" s="73"/>
      <c r="L80" s="73"/>
      <c r="M80" s="73"/>
      <c r="N80" s="73"/>
      <c r="O80" s="73"/>
      <c r="P80" s="458"/>
      <c r="Q80" s="663"/>
      <c r="R80" s="74"/>
      <c r="S80" s="783"/>
      <c r="T80" s="73"/>
      <c r="U80" s="73"/>
      <c r="V80" s="481"/>
    </row>
    <row r="81" spans="1:22" s="30" customFormat="1" ht="15" customHeight="1" hidden="1">
      <c r="A81" s="116"/>
      <c r="B81" s="791" t="s">
        <v>525</v>
      </c>
      <c r="C81" s="783">
        <v>300</v>
      </c>
      <c r="D81" s="458"/>
      <c r="E81" s="987"/>
      <c r="F81" s="988"/>
      <c r="G81" s="466"/>
      <c r="H81" s="471"/>
      <c r="I81" s="73"/>
      <c r="J81" s="73"/>
      <c r="K81" s="73"/>
      <c r="L81" s="73"/>
      <c r="M81" s="73"/>
      <c r="N81" s="73"/>
      <c r="O81" s="73"/>
      <c r="P81" s="458"/>
      <c r="Q81" s="663"/>
      <c r="R81" s="74"/>
      <c r="S81" s="783"/>
      <c r="T81" s="73"/>
      <c r="U81" s="73"/>
      <c r="V81" s="481"/>
    </row>
    <row r="82" spans="1:22" s="30" customFormat="1" ht="15" customHeight="1">
      <c r="A82" s="116"/>
      <c r="B82" s="791" t="s">
        <v>529</v>
      </c>
      <c r="C82" s="783"/>
      <c r="D82" s="458"/>
      <c r="E82" s="987"/>
      <c r="F82" s="988"/>
      <c r="G82" s="466">
        <v>83000</v>
      </c>
      <c r="H82" s="471">
        <f>G82*30.126/1000</f>
        <v>2500.458</v>
      </c>
      <c r="I82" s="73">
        <v>83000</v>
      </c>
      <c r="J82" s="73">
        <f>I82*30.126/1000</f>
        <v>2500.458</v>
      </c>
      <c r="K82" s="73"/>
      <c r="L82" s="73"/>
      <c r="M82" s="73"/>
      <c r="N82" s="73"/>
      <c r="O82" s="73">
        <v>83000</v>
      </c>
      <c r="P82" s="458">
        <f>O82*30.126/1000</f>
        <v>2500.458</v>
      </c>
      <c r="Q82" s="663">
        <v>83000</v>
      </c>
      <c r="R82" s="74">
        <f>Q82*30.126/1000</f>
        <v>2500.458</v>
      </c>
      <c r="S82" s="783"/>
      <c r="T82" s="73"/>
      <c r="U82" s="73"/>
      <c r="V82" s="481"/>
    </row>
    <row r="83" spans="1:22" s="30" customFormat="1" ht="15" customHeight="1">
      <c r="A83" s="116"/>
      <c r="B83" s="791" t="s">
        <v>428</v>
      </c>
      <c r="C83" s="782">
        <v>4492</v>
      </c>
      <c r="D83" s="382">
        <v>13736</v>
      </c>
      <c r="E83" s="985">
        <v>55500</v>
      </c>
      <c r="F83" s="986">
        <f>(E83*30.126)/1000</f>
        <v>1671.993</v>
      </c>
      <c r="G83" s="446"/>
      <c r="H83" s="470"/>
      <c r="I83" s="9"/>
      <c r="J83" s="73"/>
      <c r="K83" s="9"/>
      <c r="L83" s="9"/>
      <c r="M83" s="9"/>
      <c r="N83" s="9"/>
      <c r="O83" s="9"/>
      <c r="P83" s="458"/>
      <c r="Q83" s="35"/>
      <c r="R83" s="74"/>
      <c r="S83" s="782"/>
      <c r="T83" s="73"/>
      <c r="U83" s="9"/>
      <c r="V83" s="481"/>
    </row>
    <row r="84" spans="1:22" s="30" customFormat="1" ht="15" customHeight="1" hidden="1">
      <c r="A84" s="116"/>
      <c r="B84" s="791" t="s">
        <v>527</v>
      </c>
      <c r="C84" s="782">
        <v>96</v>
      </c>
      <c r="D84" s="382"/>
      <c r="E84" s="985"/>
      <c r="F84" s="986"/>
      <c r="G84" s="446"/>
      <c r="H84" s="470"/>
      <c r="I84" s="9"/>
      <c r="J84" s="73">
        <f>I84*30.126/1000</f>
        <v>0</v>
      </c>
      <c r="K84" s="9">
        <v>370000</v>
      </c>
      <c r="L84" s="9">
        <f>K84*30.126/1000</f>
        <v>11146.62</v>
      </c>
      <c r="M84" s="9"/>
      <c r="N84" s="9"/>
      <c r="O84" s="9"/>
      <c r="P84" s="458">
        <f>O84*30.126/1000</f>
        <v>0</v>
      </c>
      <c r="Q84" s="35"/>
      <c r="R84" s="74">
        <f aca="true" t="shared" si="30" ref="R84:R89">Q84*30.126/1000</f>
        <v>0</v>
      </c>
      <c r="S84" s="782"/>
      <c r="T84" s="73"/>
      <c r="U84" s="9"/>
      <c r="V84" s="481"/>
    </row>
    <row r="85" spans="1:22" s="30" customFormat="1" ht="15" customHeight="1" hidden="1">
      <c r="A85" s="116"/>
      <c r="B85" s="791" t="s">
        <v>1231</v>
      </c>
      <c r="C85" s="782"/>
      <c r="D85" s="382"/>
      <c r="E85" s="985"/>
      <c r="F85" s="986"/>
      <c r="G85" s="446"/>
      <c r="H85" s="470"/>
      <c r="I85" s="9"/>
      <c r="J85" s="73">
        <f>I85*30.126/1000</f>
        <v>0</v>
      </c>
      <c r="K85" s="9">
        <v>60000</v>
      </c>
      <c r="L85" s="9">
        <f>K85*30.126/1000</f>
        <v>1807.56</v>
      </c>
      <c r="M85" s="9"/>
      <c r="N85" s="9"/>
      <c r="O85" s="9"/>
      <c r="P85" s="458">
        <f>O85*30.126/1000</f>
        <v>0</v>
      </c>
      <c r="Q85" s="35"/>
      <c r="R85" s="74">
        <f t="shared" si="30"/>
        <v>0</v>
      </c>
      <c r="S85" s="782"/>
      <c r="T85" s="73"/>
      <c r="U85" s="9"/>
      <c r="V85" s="481"/>
    </row>
    <row r="86" spans="1:22" s="30" customFormat="1" ht="15" customHeight="1">
      <c r="A86" s="116"/>
      <c r="B86" s="791" t="s">
        <v>429</v>
      </c>
      <c r="C86" s="782"/>
      <c r="D86" s="382"/>
      <c r="E86" s="985">
        <v>26555</v>
      </c>
      <c r="F86" s="986">
        <f>(E86*30.126)/1000</f>
        <v>799.99593</v>
      </c>
      <c r="G86" s="446">
        <v>26555</v>
      </c>
      <c r="H86" s="471">
        <f>G86*30.126/1000</f>
        <v>799.99593</v>
      </c>
      <c r="I86" s="9">
        <v>26555</v>
      </c>
      <c r="J86" s="73">
        <f>I86*30.126/1000</f>
        <v>799.99593</v>
      </c>
      <c r="K86" s="9"/>
      <c r="L86" s="9"/>
      <c r="M86" s="9"/>
      <c r="N86" s="9"/>
      <c r="O86" s="9">
        <v>26555</v>
      </c>
      <c r="P86" s="458">
        <f>O86*30.126/1000</f>
        <v>799.99593</v>
      </c>
      <c r="Q86" s="35">
        <v>26555</v>
      </c>
      <c r="R86" s="74">
        <f t="shared" si="30"/>
        <v>799.99593</v>
      </c>
      <c r="S86" s="782"/>
      <c r="T86" s="73"/>
      <c r="U86" s="9"/>
      <c r="V86" s="481"/>
    </row>
    <row r="87" spans="1:22" s="30" customFormat="1" ht="15" customHeight="1" hidden="1">
      <c r="A87" s="116"/>
      <c r="B87" s="791" t="s">
        <v>1185</v>
      </c>
      <c r="C87" s="782"/>
      <c r="D87" s="382">
        <v>1039</v>
      </c>
      <c r="E87" s="985"/>
      <c r="F87" s="986"/>
      <c r="G87" s="446"/>
      <c r="H87" s="470"/>
      <c r="I87" s="9"/>
      <c r="J87" s="9"/>
      <c r="K87" s="9"/>
      <c r="L87" s="9"/>
      <c r="M87" s="9"/>
      <c r="N87" s="9"/>
      <c r="O87" s="9"/>
      <c r="P87" s="382"/>
      <c r="Q87" s="35"/>
      <c r="R87" s="74">
        <f t="shared" si="30"/>
        <v>0</v>
      </c>
      <c r="S87" s="782"/>
      <c r="T87" s="9"/>
      <c r="U87" s="9"/>
      <c r="V87" s="139"/>
    </row>
    <row r="88" spans="1:22" s="30" customFormat="1" ht="15" customHeight="1" hidden="1">
      <c r="A88" s="116"/>
      <c r="B88" s="791" t="s">
        <v>1186</v>
      </c>
      <c r="C88" s="782"/>
      <c r="D88" s="382">
        <v>987</v>
      </c>
      <c r="E88" s="985"/>
      <c r="F88" s="986"/>
      <c r="G88" s="446"/>
      <c r="H88" s="470"/>
      <c r="I88" s="9"/>
      <c r="J88" s="9"/>
      <c r="K88" s="9"/>
      <c r="L88" s="9"/>
      <c r="M88" s="9"/>
      <c r="N88" s="9"/>
      <c r="O88" s="9"/>
      <c r="P88" s="382"/>
      <c r="Q88" s="35"/>
      <c r="R88" s="74">
        <f t="shared" si="30"/>
        <v>0</v>
      </c>
      <c r="S88" s="782"/>
      <c r="T88" s="9"/>
      <c r="U88" s="9"/>
      <c r="V88" s="139"/>
    </row>
    <row r="89" spans="1:22" s="30" customFormat="1" ht="15" customHeight="1">
      <c r="A89" s="116"/>
      <c r="B89" s="789" t="s">
        <v>1206</v>
      </c>
      <c r="C89" s="782">
        <v>5798</v>
      </c>
      <c r="D89" s="382">
        <v>3253</v>
      </c>
      <c r="E89" s="985">
        <f>SUM(E90:E93)</f>
        <v>159331</v>
      </c>
      <c r="F89" s="986">
        <f aca="true" t="shared" si="31" ref="F89:N89">SUM(F90:F93)</f>
        <v>4800.005706</v>
      </c>
      <c r="G89" s="446">
        <f t="shared" si="31"/>
        <v>0</v>
      </c>
      <c r="H89" s="470">
        <f t="shared" si="31"/>
        <v>0</v>
      </c>
      <c r="I89" s="9">
        <f t="shared" si="31"/>
        <v>0</v>
      </c>
      <c r="J89" s="9">
        <f t="shared" si="31"/>
        <v>0</v>
      </c>
      <c r="K89" s="9">
        <f t="shared" si="31"/>
        <v>0</v>
      </c>
      <c r="L89" s="9">
        <f t="shared" si="31"/>
        <v>0</v>
      </c>
      <c r="M89" s="9">
        <f t="shared" si="31"/>
        <v>0</v>
      </c>
      <c r="N89" s="9">
        <f t="shared" si="31"/>
        <v>0</v>
      </c>
      <c r="O89" s="9">
        <f>SUM(O90:O93)</f>
        <v>0</v>
      </c>
      <c r="P89" s="382">
        <f>SUM(P90:P93)</f>
        <v>0</v>
      </c>
      <c r="Q89" s="35">
        <v>166000</v>
      </c>
      <c r="R89" s="74">
        <f t="shared" si="30"/>
        <v>5000.916</v>
      </c>
      <c r="S89" s="782"/>
      <c r="T89" s="9"/>
      <c r="U89" s="9"/>
      <c r="V89" s="139"/>
    </row>
    <row r="90" spans="1:22" s="30" customFormat="1" ht="15" customHeight="1">
      <c r="A90" s="136"/>
      <c r="B90" s="791" t="s">
        <v>1187</v>
      </c>
      <c r="C90" s="782"/>
      <c r="D90" s="382"/>
      <c r="E90" s="985">
        <v>48131</v>
      </c>
      <c r="F90" s="986">
        <f>(E90*30.126)/1000</f>
        <v>1449.994506</v>
      </c>
      <c r="G90" s="446"/>
      <c r="H90" s="470"/>
      <c r="I90" s="9"/>
      <c r="J90" s="9"/>
      <c r="K90" s="9"/>
      <c r="L90" s="9"/>
      <c r="M90" s="9"/>
      <c r="N90" s="9"/>
      <c r="O90" s="9"/>
      <c r="P90" s="382"/>
      <c r="Q90" s="35"/>
      <c r="R90" s="8"/>
      <c r="S90" s="782"/>
      <c r="T90" s="9"/>
      <c r="U90" s="9"/>
      <c r="V90" s="139"/>
    </row>
    <row r="91" spans="1:22" s="30" customFormat="1" ht="15" customHeight="1">
      <c r="A91" s="136"/>
      <c r="B91" s="791" t="s">
        <v>1188</v>
      </c>
      <c r="C91" s="782"/>
      <c r="D91" s="382"/>
      <c r="E91" s="985">
        <v>11618</v>
      </c>
      <c r="F91" s="986">
        <f>(E91*30.126)/1000</f>
        <v>350.003868</v>
      </c>
      <c r="G91" s="446"/>
      <c r="H91" s="470"/>
      <c r="I91" s="9"/>
      <c r="J91" s="9"/>
      <c r="K91" s="9"/>
      <c r="L91" s="9"/>
      <c r="M91" s="9"/>
      <c r="N91" s="9"/>
      <c r="O91" s="9"/>
      <c r="P91" s="382"/>
      <c r="Q91" s="35"/>
      <c r="R91" s="8"/>
      <c r="S91" s="782"/>
      <c r="T91" s="9"/>
      <c r="U91" s="9"/>
      <c r="V91" s="139"/>
    </row>
    <row r="92" spans="1:22" s="30" customFormat="1" ht="15" customHeight="1">
      <c r="A92" s="116"/>
      <c r="B92" s="791" t="s">
        <v>1189</v>
      </c>
      <c r="C92" s="782"/>
      <c r="D92" s="382"/>
      <c r="E92" s="985">
        <v>33194</v>
      </c>
      <c r="F92" s="986">
        <f>(E92*30.126)/1000</f>
        <v>1000.002444</v>
      </c>
      <c r="G92" s="446"/>
      <c r="H92" s="470"/>
      <c r="I92" s="9"/>
      <c r="J92" s="9"/>
      <c r="K92" s="9"/>
      <c r="L92" s="9"/>
      <c r="M92" s="9"/>
      <c r="N92" s="9"/>
      <c r="O92" s="9"/>
      <c r="P92" s="382"/>
      <c r="Q92" s="35"/>
      <c r="R92" s="8"/>
      <c r="S92" s="782"/>
      <c r="T92" s="9"/>
      <c r="U92" s="9"/>
      <c r="V92" s="139"/>
    </row>
    <row r="93" spans="1:22" s="30" customFormat="1" ht="15" customHeight="1">
      <c r="A93" s="116"/>
      <c r="B93" s="791" t="s">
        <v>243</v>
      </c>
      <c r="C93" s="782"/>
      <c r="D93" s="382"/>
      <c r="E93" s="985">
        <v>66388</v>
      </c>
      <c r="F93" s="986">
        <f>(E93*30.126)/1000</f>
        <v>2000.004888</v>
      </c>
      <c r="G93" s="446"/>
      <c r="H93" s="470"/>
      <c r="I93" s="9"/>
      <c r="J93" s="9"/>
      <c r="K93" s="9"/>
      <c r="L93" s="9"/>
      <c r="M93" s="9"/>
      <c r="N93" s="9"/>
      <c r="O93" s="9"/>
      <c r="P93" s="382"/>
      <c r="Q93" s="35"/>
      <c r="R93" s="8"/>
      <c r="S93" s="782"/>
      <c r="T93" s="9"/>
      <c r="U93" s="9"/>
      <c r="V93" s="139"/>
    </row>
    <row r="94" spans="1:22" s="30" customFormat="1" ht="15" customHeight="1">
      <c r="A94" s="116"/>
      <c r="B94" s="789" t="s">
        <v>1207</v>
      </c>
      <c r="C94" s="782">
        <f>SUM(C95:C103)</f>
        <v>5450</v>
      </c>
      <c r="D94" s="382">
        <f aca="true" t="shared" si="32" ref="D94:N94">SUM(D95:D103)</f>
        <v>13884</v>
      </c>
      <c r="E94" s="985">
        <f t="shared" si="32"/>
        <v>739194</v>
      </c>
      <c r="F94" s="986">
        <f t="shared" si="32"/>
        <v>22268.958444</v>
      </c>
      <c r="G94" s="446">
        <f t="shared" si="32"/>
        <v>1392206</v>
      </c>
      <c r="H94" s="470">
        <f t="shared" si="32"/>
        <v>41941.597956</v>
      </c>
      <c r="I94" s="9">
        <f t="shared" si="32"/>
        <v>1392206</v>
      </c>
      <c r="J94" s="9">
        <f t="shared" si="32"/>
        <v>41941.597956</v>
      </c>
      <c r="K94" s="9">
        <f t="shared" si="32"/>
        <v>0</v>
      </c>
      <c r="L94" s="9">
        <f t="shared" si="32"/>
        <v>0</v>
      </c>
      <c r="M94" s="9">
        <f t="shared" si="32"/>
        <v>0</v>
      </c>
      <c r="N94" s="9">
        <f t="shared" si="32"/>
        <v>0</v>
      </c>
      <c r="O94" s="9">
        <f>SUM(O95:O103)</f>
        <v>1392206</v>
      </c>
      <c r="P94" s="382">
        <f>SUM(P95:P103)</f>
        <v>41941.597956</v>
      </c>
      <c r="Q94" s="35">
        <f>SUM(Q95:Q103)</f>
        <v>1368116</v>
      </c>
      <c r="R94" s="8">
        <f>SUM(R95:R103)</f>
        <v>41215.862616</v>
      </c>
      <c r="S94" s="782"/>
      <c r="T94" s="9"/>
      <c r="U94" s="9"/>
      <c r="V94" s="139"/>
    </row>
    <row r="95" spans="1:22" s="30" customFormat="1" ht="15" customHeight="1">
      <c r="A95" s="116"/>
      <c r="B95" s="791" t="s">
        <v>517</v>
      </c>
      <c r="C95" s="782"/>
      <c r="D95" s="382"/>
      <c r="E95" s="985"/>
      <c r="F95" s="986"/>
      <c r="G95" s="446">
        <v>995818</v>
      </c>
      <c r="H95" s="470">
        <f>G95*30.126/1000</f>
        <v>30000.013068</v>
      </c>
      <c r="I95" s="9">
        <v>995818</v>
      </c>
      <c r="J95" s="9">
        <f>I95*30.126/1000</f>
        <v>30000.013068</v>
      </c>
      <c r="K95" s="9"/>
      <c r="L95" s="9"/>
      <c r="M95" s="9"/>
      <c r="N95" s="9"/>
      <c r="O95" s="9">
        <v>995818</v>
      </c>
      <c r="P95" s="382">
        <f>O95*30.126/1000</f>
        <v>30000.013068</v>
      </c>
      <c r="Q95" s="35">
        <v>995818</v>
      </c>
      <c r="R95" s="8">
        <f>Q95*30.126/1000</f>
        <v>30000.013068</v>
      </c>
      <c r="S95" s="782"/>
      <c r="T95" s="9"/>
      <c r="U95" s="9"/>
      <c r="V95" s="139"/>
    </row>
    <row r="96" spans="1:22" s="30" customFormat="1" ht="15" customHeight="1">
      <c r="A96" s="160"/>
      <c r="B96" s="791" t="s">
        <v>1178</v>
      </c>
      <c r="C96" s="782"/>
      <c r="D96" s="382"/>
      <c r="E96" s="985">
        <v>490000</v>
      </c>
      <c r="F96" s="986">
        <f>(E96*30.126)/1000</f>
        <v>14761.74</v>
      </c>
      <c r="G96" s="446"/>
      <c r="H96" s="470"/>
      <c r="I96" s="9"/>
      <c r="J96" s="9"/>
      <c r="K96" s="9"/>
      <c r="L96" s="9"/>
      <c r="M96" s="9"/>
      <c r="N96" s="9"/>
      <c r="O96" s="9"/>
      <c r="P96" s="382"/>
      <c r="Q96" s="35"/>
      <c r="R96" s="8"/>
      <c r="S96" s="782"/>
      <c r="T96" s="9"/>
      <c r="U96" s="9"/>
      <c r="V96" s="139"/>
    </row>
    <row r="97" spans="1:22" s="30" customFormat="1" ht="15" customHeight="1">
      <c r="A97" s="160"/>
      <c r="B97" s="791" t="s">
        <v>431</v>
      </c>
      <c r="C97" s="782">
        <v>5450</v>
      </c>
      <c r="D97" s="382">
        <v>2949</v>
      </c>
      <c r="E97" s="985">
        <v>33194</v>
      </c>
      <c r="F97" s="986">
        <f>(E97*30.126)/1000</f>
        <v>1000.002444</v>
      </c>
      <c r="G97" s="446">
        <v>66388</v>
      </c>
      <c r="H97" s="470">
        <f aca="true" t="shared" si="33" ref="H97:H102">G97*30.126/1000</f>
        <v>2000.004888</v>
      </c>
      <c r="I97" s="9">
        <v>66388</v>
      </c>
      <c r="J97" s="9">
        <f aca="true" t="shared" si="34" ref="J97:J102">I97*30.126/1000</f>
        <v>2000.004888</v>
      </c>
      <c r="K97" s="9"/>
      <c r="L97" s="9"/>
      <c r="M97" s="9"/>
      <c r="N97" s="9"/>
      <c r="O97" s="9">
        <v>66388</v>
      </c>
      <c r="P97" s="382">
        <f>O97*30.126/1000</f>
        <v>2000.004888</v>
      </c>
      <c r="Q97" s="35">
        <v>66388</v>
      </c>
      <c r="R97" s="8">
        <f>Q97*30.126/1000</f>
        <v>2000.004888</v>
      </c>
      <c r="S97" s="782"/>
      <c r="T97" s="9"/>
      <c r="U97" s="9"/>
      <c r="V97" s="139"/>
    </row>
    <row r="98" spans="1:22" s="30" customFormat="1" ht="15" customHeight="1" hidden="1">
      <c r="A98" s="160"/>
      <c r="B98" s="791" t="s">
        <v>1190</v>
      </c>
      <c r="C98" s="782"/>
      <c r="D98" s="382">
        <v>1040</v>
      </c>
      <c r="E98" s="985"/>
      <c r="F98" s="986"/>
      <c r="G98" s="446"/>
      <c r="H98" s="470"/>
      <c r="I98" s="9"/>
      <c r="J98" s="9">
        <f t="shared" si="34"/>
        <v>0</v>
      </c>
      <c r="K98" s="9"/>
      <c r="L98" s="9"/>
      <c r="M98" s="9"/>
      <c r="N98" s="9"/>
      <c r="O98" s="9"/>
      <c r="P98" s="382">
        <f>O98*30.126/1000</f>
        <v>0</v>
      </c>
      <c r="Q98" s="35"/>
      <c r="R98" s="8">
        <f>Q98*30.126/1000</f>
        <v>0</v>
      </c>
      <c r="S98" s="782"/>
      <c r="T98" s="9"/>
      <c r="U98" s="9"/>
      <c r="V98" s="139"/>
    </row>
    <row r="99" spans="1:22" s="30" customFormat="1" ht="15" customHeight="1">
      <c r="A99" s="160"/>
      <c r="B99" s="791" t="s">
        <v>553</v>
      </c>
      <c r="C99" s="782"/>
      <c r="D99" s="382"/>
      <c r="E99" s="985">
        <v>216000</v>
      </c>
      <c r="F99" s="986">
        <f>(E99*30.126)/1000</f>
        <v>6507.216</v>
      </c>
      <c r="G99" s="446"/>
      <c r="H99" s="470"/>
      <c r="I99" s="9"/>
      <c r="J99" s="9"/>
      <c r="K99" s="9"/>
      <c r="L99" s="9"/>
      <c r="M99" s="9"/>
      <c r="N99" s="9"/>
      <c r="O99" s="9"/>
      <c r="P99" s="382"/>
      <c r="Q99" s="35"/>
      <c r="R99" s="8"/>
      <c r="S99" s="782"/>
      <c r="T99" s="9"/>
      <c r="U99" s="9"/>
      <c r="V99" s="139"/>
    </row>
    <row r="100" spans="1:22" s="30" customFormat="1" ht="15" customHeight="1">
      <c r="A100" s="160"/>
      <c r="B100" s="791" t="s">
        <v>530</v>
      </c>
      <c r="C100" s="782"/>
      <c r="D100" s="382"/>
      <c r="E100" s="985"/>
      <c r="F100" s="986"/>
      <c r="G100" s="446">
        <v>40000</v>
      </c>
      <c r="H100" s="470">
        <f t="shared" si="33"/>
        <v>1205.04</v>
      </c>
      <c r="I100" s="9">
        <v>40000</v>
      </c>
      <c r="J100" s="9">
        <f t="shared" si="34"/>
        <v>1205.04</v>
      </c>
      <c r="K100" s="9"/>
      <c r="L100" s="9"/>
      <c r="M100" s="9"/>
      <c r="N100" s="9"/>
      <c r="O100" s="9">
        <v>40000</v>
      </c>
      <c r="P100" s="382">
        <f>O100*30.126/1000</f>
        <v>1205.04</v>
      </c>
      <c r="Q100" s="35">
        <v>40000</v>
      </c>
      <c r="R100" s="8">
        <f>Q100*30.126/1000</f>
        <v>1205.04</v>
      </c>
      <c r="S100" s="782"/>
      <c r="T100" s="9"/>
      <c r="U100" s="9"/>
      <c r="V100" s="139"/>
    </row>
    <row r="101" spans="1:22" s="30" customFormat="1" ht="15" customHeight="1">
      <c r="A101" s="160"/>
      <c r="B101" s="791" t="s">
        <v>531</v>
      </c>
      <c r="C101" s="782"/>
      <c r="D101" s="382"/>
      <c r="E101" s="985"/>
      <c r="F101" s="986"/>
      <c r="G101" s="446">
        <v>30000</v>
      </c>
      <c r="H101" s="470">
        <f t="shared" si="33"/>
        <v>903.78</v>
      </c>
      <c r="I101" s="9">
        <v>30000</v>
      </c>
      <c r="J101" s="9">
        <f t="shared" si="34"/>
        <v>903.78</v>
      </c>
      <c r="K101" s="9"/>
      <c r="L101" s="9"/>
      <c r="M101" s="9"/>
      <c r="N101" s="9"/>
      <c r="O101" s="9">
        <v>30000</v>
      </c>
      <c r="P101" s="382">
        <f>O101*30.126/1000</f>
        <v>903.78</v>
      </c>
      <c r="Q101" s="35">
        <v>30000</v>
      </c>
      <c r="R101" s="8">
        <f>Q101*30.126/1000</f>
        <v>903.78</v>
      </c>
      <c r="S101" s="782"/>
      <c r="T101" s="9"/>
      <c r="U101" s="9"/>
      <c r="V101" s="139"/>
    </row>
    <row r="102" spans="1:22" s="30" customFormat="1" ht="15" customHeight="1">
      <c r="A102" s="160"/>
      <c r="B102" s="791" t="s">
        <v>1180</v>
      </c>
      <c r="C102" s="782"/>
      <c r="D102" s="382"/>
      <c r="E102" s="985"/>
      <c r="F102" s="986"/>
      <c r="G102" s="446">
        <v>260000</v>
      </c>
      <c r="H102" s="470">
        <f t="shared" si="33"/>
        <v>7832.76</v>
      </c>
      <c r="I102" s="9">
        <v>260000</v>
      </c>
      <c r="J102" s="9">
        <f t="shared" si="34"/>
        <v>7832.76</v>
      </c>
      <c r="K102" s="9"/>
      <c r="L102" s="9"/>
      <c r="M102" s="9"/>
      <c r="N102" s="9"/>
      <c r="O102" s="9">
        <v>260000</v>
      </c>
      <c r="P102" s="382">
        <f>O102*30.126/1000</f>
        <v>7832.76</v>
      </c>
      <c r="Q102" s="35">
        <v>235910</v>
      </c>
      <c r="R102" s="8">
        <f>Q102*30.126/1000</f>
        <v>7107.02466</v>
      </c>
      <c r="S102" s="782"/>
      <c r="T102" s="9"/>
      <c r="U102" s="9"/>
      <c r="V102" s="139"/>
    </row>
    <row r="103" spans="1:22" s="30" customFormat="1" ht="15" customHeight="1" hidden="1">
      <c r="A103" s="160"/>
      <c r="B103" s="791" t="s">
        <v>432</v>
      </c>
      <c r="C103" s="782"/>
      <c r="D103" s="382">
        <v>9895</v>
      </c>
      <c r="E103" s="985"/>
      <c r="F103" s="986"/>
      <c r="G103" s="446"/>
      <c r="H103" s="470"/>
      <c r="I103" s="9"/>
      <c r="J103" s="9"/>
      <c r="K103" s="9"/>
      <c r="L103" s="9"/>
      <c r="M103" s="9"/>
      <c r="N103" s="9"/>
      <c r="O103" s="9"/>
      <c r="P103" s="382"/>
      <c r="Q103" s="35"/>
      <c r="R103" s="8"/>
      <c r="S103" s="782"/>
      <c r="T103" s="9"/>
      <c r="U103" s="9"/>
      <c r="V103" s="139"/>
    </row>
    <row r="104" spans="1:22" s="30" customFormat="1" ht="15" customHeight="1">
      <c r="A104" s="116"/>
      <c r="B104" s="789" t="s">
        <v>1196</v>
      </c>
      <c r="C104" s="783">
        <f>SUM(C105:C108)</f>
        <v>0</v>
      </c>
      <c r="D104" s="458">
        <f>SUM(D105:D108)</f>
        <v>5315</v>
      </c>
      <c r="E104" s="987">
        <f aca="true" t="shared" si="35" ref="E104:N104">SUM(E105:E108)</f>
        <v>2333259</v>
      </c>
      <c r="F104" s="988">
        <f t="shared" si="35"/>
        <v>70291.760634</v>
      </c>
      <c r="G104" s="466">
        <f t="shared" si="35"/>
        <v>0</v>
      </c>
      <c r="H104" s="471">
        <f t="shared" si="35"/>
        <v>0</v>
      </c>
      <c r="I104" s="73">
        <f t="shared" si="35"/>
        <v>0</v>
      </c>
      <c r="J104" s="73">
        <f t="shared" si="35"/>
        <v>0</v>
      </c>
      <c r="K104" s="73">
        <f t="shared" si="35"/>
        <v>1170000</v>
      </c>
      <c r="L104" s="73">
        <f t="shared" si="35"/>
        <v>35247.42</v>
      </c>
      <c r="M104" s="73">
        <f t="shared" si="35"/>
        <v>0</v>
      </c>
      <c r="N104" s="73">
        <f t="shared" si="35"/>
        <v>0</v>
      </c>
      <c r="O104" s="73">
        <f>SUM(O105:O108)</f>
        <v>0</v>
      </c>
      <c r="P104" s="458">
        <f>SUM(P105:P108)</f>
        <v>0</v>
      </c>
      <c r="Q104" s="663">
        <f>SUM(Q105:Q108)</f>
        <v>99582</v>
      </c>
      <c r="R104" s="74">
        <f>SUM(R105:R108)</f>
        <v>3000.007332</v>
      </c>
      <c r="S104" s="783"/>
      <c r="T104" s="73"/>
      <c r="U104" s="73"/>
      <c r="V104" s="481"/>
    </row>
    <row r="105" spans="1:22" s="30" customFormat="1" ht="15" customHeight="1" hidden="1">
      <c r="A105" s="160"/>
      <c r="B105" s="791" t="s">
        <v>1173</v>
      </c>
      <c r="C105" s="782"/>
      <c r="D105" s="382"/>
      <c r="E105" s="985"/>
      <c r="F105" s="986"/>
      <c r="G105" s="446"/>
      <c r="H105" s="470"/>
      <c r="I105" s="9"/>
      <c r="J105" s="9"/>
      <c r="K105" s="9">
        <v>1170000</v>
      </c>
      <c r="L105" s="9">
        <f>K105*30.126/1000</f>
        <v>35247.42</v>
      </c>
      <c r="M105" s="9"/>
      <c r="N105" s="9"/>
      <c r="O105" s="9"/>
      <c r="P105" s="382"/>
      <c r="Q105" s="35"/>
      <c r="R105" s="8"/>
      <c r="S105" s="782"/>
      <c r="T105" s="9"/>
      <c r="U105" s="9"/>
      <c r="V105" s="139"/>
    </row>
    <row r="106" spans="1:22" s="30" customFormat="1" ht="15" customHeight="1">
      <c r="A106" s="160"/>
      <c r="B106" s="791" t="s">
        <v>1123</v>
      </c>
      <c r="C106" s="782"/>
      <c r="D106" s="382"/>
      <c r="E106" s="985"/>
      <c r="F106" s="986"/>
      <c r="G106" s="446"/>
      <c r="H106" s="470"/>
      <c r="I106" s="9"/>
      <c r="J106" s="9"/>
      <c r="K106" s="9"/>
      <c r="L106" s="9"/>
      <c r="M106" s="9"/>
      <c r="N106" s="9"/>
      <c r="O106" s="9"/>
      <c r="P106" s="382"/>
      <c r="Q106" s="35">
        <v>99582</v>
      </c>
      <c r="R106" s="8">
        <f>Q106*30.126/1000</f>
        <v>3000.007332</v>
      </c>
      <c r="S106" s="782"/>
      <c r="T106" s="9"/>
      <c r="U106" s="9"/>
      <c r="V106" s="139"/>
    </row>
    <row r="107" spans="1:22" s="30" customFormat="1" ht="15" customHeight="1">
      <c r="A107" s="160"/>
      <c r="B107" s="791" t="s">
        <v>554</v>
      </c>
      <c r="C107" s="782"/>
      <c r="D107" s="382"/>
      <c r="E107" s="985">
        <v>39833</v>
      </c>
      <c r="F107" s="986">
        <f>(E107*30.126)/1000</f>
        <v>1200.0089580000001</v>
      </c>
      <c r="G107" s="446"/>
      <c r="H107" s="470"/>
      <c r="I107" s="9"/>
      <c r="J107" s="9"/>
      <c r="K107" s="9"/>
      <c r="L107" s="9"/>
      <c r="M107" s="9"/>
      <c r="N107" s="9"/>
      <c r="O107" s="9"/>
      <c r="P107" s="382"/>
      <c r="Q107" s="35"/>
      <c r="R107" s="8"/>
      <c r="S107" s="782"/>
      <c r="T107" s="9"/>
      <c r="U107" s="9"/>
      <c r="V107" s="139"/>
    </row>
    <row r="108" spans="1:22" s="30" customFormat="1" ht="15" customHeight="1">
      <c r="A108" s="152"/>
      <c r="B108" s="791" t="s">
        <v>1174</v>
      </c>
      <c r="C108" s="782"/>
      <c r="D108" s="382">
        <v>5315</v>
      </c>
      <c r="E108" s="985">
        <v>2293426</v>
      </c>
      <c r="F108" s="986">
        <f>(E108*30.126)/1000</f>
        <v>69091.751676</v>
      </c>
      <c r="G108" s="446"/>
      <c r="H108" s="470"/>
      <c r="I108" s="472"/>
      <c r="J108" s="9"/>
      <c r="K108" s="9"/>
      <c r="L108" s="9"/>
      <c r="M108" s="9"/>
      <c r="N108" s="9"/>
      <c r="O108" s="472"/>
      <c r="P108" s="382"/>
      <c r="Q108" s="774"/>
      <c r="R108" s="8"/>
      <c r="S108" s="782"/>
      <c r="T108" s="9"/>
      <c r="U108" s="9"/>
      <c r="V108" s="139"/>
    </row>
    <row r="109" spans="1:22" s="30" customFormat="1" ht="15" customHeight="1">
      <c r="A109" s="130" t="s">
        <v>23</v>
      </c>
      <c r="B109" s="790" t="s">
        <v>1171</v>
      </c>
      <c r="C109" s="782">
        <v>650</v>
      </c>
      <c r="D109" s="382">
        <v>1353</v>
      </c>
      <c r="E109" s="985">
        <v>33194</v>
      </c>
      <c r="F109" s="986">
        <f>(E109*30.126)/1000</f>
        <v>1000.002444</v>
      </c>
      <c r="G109" s="446">
        <v>45000</v>
      </c>
      <c r="H109" s="470">
        <f>G109*30.126/1000</f>
        <v>1355.67</v>
      </c>
      <c r="I109" s="9">
        <v>45000</v>
      </c>
      <c r="J109" s="9">
        <f>I109*30.126/1000</f>
        <v>1355.67</v>
      </c>
      <c r="K109" s="9"/>
      <c r="L109" s="9"/>
      <c r="M109" s="9"/>
      <c r="N109" s="9"/>
      <c r="O109" s="9">
        <v>45000</v>
      </c>
      <c r="P109" s="382">
        <f>O109*30.126/1000</f>
        <v>1355.67</v>
      </c>
      <c r="Q109" s="772">
        <v>45000</v>
      </c>
      <c r="R109" s="8">
        <f>Q109*30.126/1000</f>
        <v>1355.67</v>
      </c>
      <c r="S109" s="782"/>
      <c r="T109" s="9"/>
      <c r="U109" s="9"/>
      <c r="V109" s="139"/>
    </row>
    <row r="110" spans="1:22" s="30" customFormat="1" ht="15" customHeight="1">
      <c r="A110" s="149" t="s">
        <v>24</v>
      </c>
      <c r="B110" s="790" t="s">
        <v>426</v>
      </c>
      <c r="C110" s="782">
        <v>300</v>
      </c>
      <c r="D110" s="382">
        <v>509</v>
      </c>
      <c r="E110" s="985">
        <v>16597</v>
      </c>
      <c r="F110" s="986">
        <f>(E110*30.126)/1000</f>
        <v>500.001222</v>
      </c>
      <c r="G110" s="446">
        <v>16597</v>
      </c>
      <c r="H110" s="470">
        <f>G110*30.126/1000</f>
        <v>500.001222</v>
      </c>
      <c r="I110" s="9">
        <v>16597</v>
      </c>
      <c r="J110" s="9">
        <f>I110*30.126/1000</f>
        <v>500.001222</v>
      </c>
      <c r="K110" s="9"/>
      <c r="L110" s="9"/>
      <c r="M110" s="9"/>
      <c r="N110" s="9"/>
      <c r="O110" s="9">
        <v>16597</v>
      </c>
      <c r="P110" s="382">
        <f>O110*30.126/1000</f>
        <v>500.001222</v>
      </c>
      <c r="Q110" s="772">
        <v>16597</v>
      </c>
      <c r="R110" s="8">
        <f>Q110*30.126/1000</f>
        <v>500.001222</v>
      </c>
      <c r="S110" s="782"/>
      <c r="T110" s="9"/>
      <c r="U110" s="9"/>
      <c r="V110" s="139"/>
    </row>
    <row r="111" spans="1:22" s="30" customFormat="1" ht="15" customHeight="1" hidden="1">
      <c r="A111" s="173"/>
      <c r="B111" s="790" t="s">
        <v>1172</v>
      </c>
      <c r="C111" s="782">
        <f>SUM(C112:C112)</f>
        <v>1190</v>
      </c>
      <c r="D111" s="382">
        <f>SUM(D112:D112)</f>
        <v>844</v>
      </c>
      <c r="E111" s="985">
        <f>SUM(E112:E112)</f>
        <v>0</v>
      </c>
      <c r="F111" s="986">
        <f aca="true" t="shared" si="36" ref="F111:N111">SUM(F112:F112)</f>
        <v>0</v>
      </c>
      <c r="G111" s="446">
        <f t="shared" si="36"/>
        <v>0</v>
      </c>
      <c r="H111" s="470">
        <f t="shared" si="36"/>
        <v>0</v>
      </c>
      <c r="I111" s="9">
        <f t="shared" si="36"/>
        <v>0</v>
      </c>
      <c r="J111" s="9">
        <f t="shared" si="36"/>
        <v>0</v>
      </c>
      <c r="K111" s="9">
        <f t="shared" si="36"/>
        <v>0</v>
      </c>
      <c r="L111" s="9">
        <f t="shared" si="36"/>
        <v>0</v>
      </c>
      <c r="M111" s="9">
        <f t="shared" si="36"/>
        <v>0</v>
      </c>
      <c r="N111" s="9">
        <f t="shared" si="36"/>
        <v>0</v>
      </c>
      <c r="O111" s="9">
        <f>SUM(O112:O112)</f>
        <v>0</v>
      </c>
      <c r="P111" s="382">
        <f>SUM(P112:P112)</f>
        <v>0</v>
      </c>
      <c r="Q111" s="772">
        <f>SUM(Q112:Q112)</f>
        <v>0</v>
      </c>
      <c r="R111" s="8">
        <f>SUM(R112:R112)</f>
        <v>0</v>
      </c>
      <c r="S111" s="782"/>
      <c r="T111" s="9"/>
      <c r="U111" s="9"/>
      <c r="V111" s="139"/>
    </row>
    <row r="112" spans="1:22" s="30" customFormat="1" ht="15" customHeight="1" hidden="1">
      <c r="A112" s="236"/>
      <c r="B112" s="789" t="s">
        <v>1208</v>
      </c>
      <c r="C112" s="782">
        <v>1190</v>
      </c>
      <c r="D112" s="382">
        <v>844</v>
      </c>
      <c r="E112" s="985"/>
      <c r="F112" s="986"/>
      <c r="G112" s="446"/>
      <c r="H112" s="470"/>
      <c r="I112" s="9"/>
      <c r="J112" s="9"/>
      <c r="K112" s="9"/>
      <c r="L112" s="9"/>
      <c r="M112" s="9"/>
      <c r="N112" s="9"/>
      <c r="O112" s="9"/>
      <c r="P112" s="382"/>
      <c r="Q112" s="772"/>
      <c r="R112" s="8"/>
      <c r="S112" s="782"/>
      <c r="T112" s="9"/>
      <c r="U112" s="9"/>
      <c r="V112" s="139"/>
    </row>
    <row r="113" spans="1:22" s="30" customFormat="1" ht="15" customHeight="1">
      <c r="A113" s="149" t="s">
        <v>25</v>
      </c>
      <c r="B113" s="790" t="s">
        <v>1191</v>
      </c>
      <c r="C113" s="783">
        <f>SUM(C114:C118)</f>
        <v>229</v>
      </c>
      <c r="D113" s="458">
        <f>SUM(D114:D118)</f>
        <v>10598</v>
      </c>
      <c r="E113" s="987">
        <f>SUM(E114:E118)</f>
        <v>119498</v>
      </c>
      <c r="F113" s="988">
        <f>SUM(F114:F118)</f>
        <v>3599.996748</v>
      </c>
      <c r="G113" s="466">
        <f aca="true" t="shared" si="37" ref="G113:N113">SUM(G114:G118)</f>
        <v>151924</v>
      </c>
      <c r="H113" s="471">
        <f t="shared" si="37"/>
        <v>4576.862424</v>
      </c>
      <c r="I113" s="73">
        <f t="shared" si="37"/>
        <v>151924</v>
      </c>
      <c r="J113" s="73">
        <f t="shared" si="37"/>
        <v>4576.862424</v>
      </c>
      <c r="K113" s="73">
        <f t="shared" si="37"/>
        <v>0</v>
      </c>
      <c r="L113" s="73">
        <f t="shared" si="37"/>
        <v>0</v>
      </c>
      <c r="M113" s="73">
        <f t="shared" si="37"/>
        <v>0</v>
      </c>
      <c r="N113" s="73">
        <f t="shared" si="37"/>
        <v>0</v>
      </c>
      <c r="O113" s="73">
        <f>SUM(O114:O118)</f>
        <v>151924</v>
      </c>
      <c r="P113" s="458">
        <f>SUM(P114:P118)</f>
        <v>4576.862424</v>
      </c>
      <c r="Q113" s="773">
        <f>SUM(Q114:Q118)</f>
        <v>151924</v>
      </c>
      <c r="R113" s="74">
        <f>SUM(R114:R118)</f>
        <v>4576.862424</v>
      </c>
      <c r="S113" s="783"/>
      <c r="T113" s="73"/>
      <c r="U113" s="73"/>
      <c r="V113" s="481"/>
    </row>
    <row r="114" spans="1:22" s="30" customFormat="1" ht="15" customHeight="1">
      <c r="A114" s="156"/>
      <c r="B114" s="789" t="s">
        <v>84</v>
      </c>
      <c r="C114" s="782"/>
      <c r="D114" s="382">
        <v>9998</v>
      </c>
      <c r="E114" s="985">
        <v>109540</v>
      </c>
      <c r="F114" s="986">
        <f>(E114*30.126)/1000</f>
        <v>3300.00204</v>
      </c>
      <c r="G114" s="446">
        <v>123776</v>
      </c>
      <c r="H114" s="470">
        <f>G114*30.126/1000</f>
        <v>3728.875776</v>
      </c>
      <c r="I114" s="9">
        <v>123776</v>
      </c>
      <c r="J114" s="9">
        <f>I114*30.126/1000</f>
        <v>3728.875776</v>
      </c>
      <c r="K114" s="9"/>
      <c r="L114" s="9"/>
      <c r="M114" s="9"/>
      <c r="N114" s="9"/>
      <c r="O114" s="9">
        <v>123776</v>
      </c>
      <c r="P114" s="382">
        <f>O114*30.126/1000</f>
        <v>3728.875776</v>
      </c>
      <c r="Q114" s="772">
        <v>123776</v>
      </c>
      <c r="R114" s="8">
        <f>Q114*30.126/1000</f>
        <v>3728.875776</v>
      </c>
      <c r="S114" s="782"/>
      <c r="T114" s="9"/>
      <c r="U114" s="9"/>
      <c r="V114" s="139"/>
    </row>
    <row r="115" spans="1:22" s="30" customFormat="1" ht="15" customHeight="1" hidden="1">
      <c r="A115" s="155"/>
      <c r="B115" s="789" t="s">
        <v>1202</v>
      </c>
      <c r="C115" s="782"/>
      <c r="D115" s="382"/>
      <c r="E115" s="985"/>
      <c r="F115" s="986"/>
      <c r="G115" s="446"/>
      <c r="H115" s="470"/>
      <c r="I115" s="9"/>
      <c r="J115" s="9">
        <f>I115*30.126/1000</f>
        <v>0</v>
      </c>
      <c r="K115" s="9"/>
      <c r="L115" s="9"/>
      <c r="M115" s="9"/>
      <c r="N115" s="9"/>
      <c r="O115" s="9"/>
      <c r="P115" s="382">
        <f>O115*30.126/1000</f>
        <v>0</v>
      </c>
      <c r="Q115" s="772"/>
      <c r="R115" s="8">
        <f>Q115*30.126/1000</f>
        <v>0</v>
      </c>
      <c r="S115" s="782"/>
      <c r="T115" s="9"/>
      <c r="U115" s="9"/>
      <c r="V115" s="139"/>
    </row>
    <row r="116" spans="1:22" s="30" customFormat="1" ht="15" customHeight="1" hidden="1">
      <c r="A116" s="155"/>
      <c r="B116" s="789" t="s">
        <v>528</v>
      </c>
      <c r="C116" s="782"/>
      <c r="D116" s="382"/>
      <c r="E116" s="985"/>
      <c r="F116" s="986"/>
      <c r="G116" s="446"/>
      <c r="H116" s="470"/>
      <c r="I116" s="9"/>
      <c r="J116" s="9">
        <f>I116*30.126/1000</f>
        <v>0</v>
      </c>
      <c r="K116" s="9"/>
      <c r="L116" s="9"/>
      <c r="M116" s="9"/>
      <c r="N116" s="9"/>
      <c r="O116" s="9"/>
      <c r="P116" s="382">
        <f>O116*30.126/1000</f>
        <v>0</v>
      </c>
      <c r="Q116" s="772"/>
      <c r="R116" s="8">
        <f>Q116*30.126/1000</f>
        <v>0</v>
      </c>
      <c r="S116" s="782"/>
      <c r="T116" s="9"/>
      <c r="U116" s="9"/>
      <c r="V116" s="139"/>
    </row>
    <row r="117" spans="1:22" s="30" customFormat="1" ht="15" customHeight="1">
      <c r="A117" s="121"/>
      <c r="B117" s="789" t="s">
        <v>382</v>
      </c>
      <c r="C117" s="782"/>
      <c r="D117" s="382">
        <v>543</v>
      </c>
      <c r="E117" s="985"/>
      <c r="F117" s="986"/>
      <c r="G117" s="446">
        <v>18190</v>
      </c>
      <c r="H117" s="470">
        <f>G117*30.126/1000</f>
        <v>547.9919400000001</v>
      </c>
      <c r="I117" s="9">
        <v>18190</v>
      </c>
      <c r="J117" s="9">
        <f>I117*30.126/1000</f>
        <v>547.9919400000001</v>
      </c>
      <c r="K117" s="9"/>
      <c r="L117" s="9"/>
      <c r="M117" s="9"/>
      <c r="N117" s="9"/>
      <c r="O117" s="9">
        <v>18190</v>
      </c>
      <c r="P117" s="382">
        <f>O117*30.126/1000</f>
        <v>547.9919400000001</v>
      </c>
      <c r="Q117" s="772">
        <v>18190</v>
      </c>
      <c r="R117" s="8">
        <f>Q117*30.126/1000</f>
        <v>547.9919400000001</v>
      </c>
      <c r="S117" s="782"/>
      <c r="T117" s="9"/>
      <c r="U117" s="9"/>
      <c r="V117" s="139"/>
    </row>
    <row r="118" spans="1:22" s="30" customFormat="1" ht="15" customHeight="1">
      <c r="A118" s="116"/>
      <c r="B118" s="789" t="s">
        <v>433</v>
      </c>
      <c r="C118" s="782">
        <v>229</v>
      </c>
      <c r="D118" s="382">
        <v>57</v>
      </c>
      <c r="E118" s="985">
        <v>9958</v>
      </c>
      <c r="F118" s="986">
        <f>(E118*30.126)/1000</f>
        <v>299.994708</v>
      </c>
      <c r="G118" s="446">
        <v>9958</v>
      </c>
      <c r="H118" s="470">
        <f>G118*30.126/1000</f>
        <v>299.994708</v>
      </c>
      <c r="I118" s="9">
        <v>9958</v>
      </c>
      <c r="J118" s="9">
        <f>I118*30.126/1000</f>
        <v>299.994708</v>
      </c>
      <c r="K118" s="9"/>
      <c r="L118" s="9"/>
      <c r="M118" s="9"/>
      <c r="N118" s="9"/>
      <c r="O118" s="9">
        <v>9958</v>
      </c>
      <c r="P118" s="382">
        <f>O118*30.126/1000</f>
        <v>299.994708</v>
      </c>
      <c r="Q118" s="772">
        <v>9958</v>
      </c>
      <c r="R118" s="8">
        <f>Q118*30.126/1000</f>
        <v>299.994708</v>
      </c>
      <c r="S118" s="782"/>
      <c r="T118" s="9"/>
      <c r="U118" s="9"/>
      <c r="V118" s="139"/>
    </row>
    <row r="119" spans="1:22" s="30" customFormat="1" ht="19.5" customHeight="1">
      <c r="A119" s="111" t="s">
        <v>737</v>
      </c>
      <c r="B119" s="786" t="s">
        <v>342</v>
      </c>
      <c r="C119" s="779">
        <f aca="true" t="shared" si="38" ref="C119:N120">C120</f>
        <v>15679</v>
      </c>
      <c r="D119" s="455">
        <f t="shared" si="38"/>
        <v>26047</v>
      </c>
      <c r="E119" s="875">
        <f t="shared" si="38"/>
        <v>886278</v>
      </c>
      <c r="F119" s="1505">
        <f t="shared" si="38"/>
        <v>26700</v>
      </c>
      <c r="G119" s="463">
        <f t="shared" si="38"/>
        <v>863042</v>
      </c>
      <c r="H119" s="447">
        <f t="shared" si="38"/>
        <v>26000.003292</v>
      </c>
      <c r="I119" s="28">
        <f t="shared" si="38"/>
        <v>863042</v>
      </c>
      <c r="J119" s="28">
        <f t="shared" si="38"/>
        <v>26000.003292</v>
      </c>
      <c r="K119" s="28">
        <f t="shared" si="38"/>
        <v>0</v>
      </c>
      <c r="L119" s="28">
        <f t="shared" si="38"/>
        <v>0</v>
      </c>
      <c r="M119" s="28">
        <f t="shared" si="38"/>
        <v>0</v>
      </c>
      <c r="N119" s="28">
        <f t="shared" si="38"/>
        <v>0</v>
      </c>
      <c r="O119" s="28">
        <f aca="true" t="shared" si="39" ref="O119:V119">O120</f>
        <v>863042</v>
      </c>
      <c r="P119" s="455">
        <f t="shared" si="39"/>
        <v>26000.003292</v>
      </c>
      <c r="Q119" s="769">
        <f t="shared" si="39"/>
        <v>863042</v>
      </c>
      <c r="R119" s="17">
        <f t="shared" si="39"/>
        <v>26000.003292</v>
      </c>
      <c r="S119" s="779">
        <f t="shared" si="39"/>
        <v>863042</v>
      </c>
      <c r="T119" s="28">
        <f t="shared" si="39"/>
        <v>26000.003292</v>
      </c>
      <c r="U119" s="28">
        <f t="shared" si="39"/>
        <v>863042</v>
      </c>
      <c r="V119" s="479">
        <f t="shared" si="39"/>
        <v>26000.003292</v>
      </c>
    </row>
    <row r="120" spans="1:22" s="30" customFormat="1" ht="19.5" customHeight="1">
      <c r="A120" s="112" t="s">
        <v>26</v>
      </c>
      <c r="B120" s="787" t="s">
        <v>965</v>
      </c>
      <c r="C120" s="780">
        <f t="shared" si="38"/>
        <v>15679</v>
      </c>
      <c r="D120" s="456">
        <f t="shared" si="38"/>
        <v>26047</v>
      </c>
      <c r="E120" s="245">
        <f t="shared" si="38"/>
        <v>886278</v>
      </c>
      <c r="F120" s="764">
        <f t="shared" si="38"/>
        <v>26700</v>
      </c>
      <c r="G120" s="464">
        <f t="shared" si="38"/>
        <v>863042</v>
      </c>
      <c r="H120" s="20">
        <f t="shared" si="38"/>
        <v>26000.003292</v>
      </c>
      <c r="I120" s="29">
        <f t="shared" si="38"/>
        <v>863042</v>
      </c>
      <c r="J120" s="29">
        <f t="shared" si="38"/>
        <v>26000.003292</v>
      </c>
      <c r="K120" s="29">
        <f t="shared" si="38"/>
        <v>0</v>
      </c>
      <c r="L120" s="29">
        <f t="shared" si="38"/>
        <v>0</v>
      </c>
      <c r="M120" s="29">
        <f t="shared" si="38"/>
        <v>0</v>
      </c>
      <c r="N120" s="29">
        <f t="shared" si="38"/>
        <v>0</v>
      </c>
      <c r="O120" s="29">
        <f>O121</f>
        <v>863042</v>
      </c>
      <c r="P120" s="456">
        <f>P121</f>
        <v>26000.003292</v>
      </c>
      <c r="Q120" s="770">
        <f>Q121</f>
        <v>863042</v>
      </c>
      <c r="R120" s="18">
        <f>R121</f>
        <v>26000.003292</v>
      </c>
      <c r="S120" s="780">
        <v>863042</v>
      </c>
      <c r="T120" s="29">
        <f>S120*30.126/1000</f>
        <v>26000.003292</v>
      </c>
      <c r="U120" s="29">
        <v>863042</v>
      </c>
      <c r="V120" s="480">
        <f>U120*30.126/1000</f>
        <v>26000.003292</v>
      </c>
    </row>
    <row r="121" spans="1:22" s="30" customFormat="1" ht="15" customHeight="1" thickBot="1">
      <c r="A121" s="162"/>
      <c r="B121" s="792" t="s">
        <v>434</v>
      </c>
      <c r="C121" s="784">
        <v>15679</v>
      </c>
      <c r="D121" s="459">
        <v>26047</v>
      </c>
      <c r="E121" s="989">
        <v>886278</v>
      </c>
      <c r="F121" s="990">
        <v>26700</v>
      </c>
      <c r="G121" s="467">
        <v>863042</v>
      </c>
      <c r="H121" s="482">
        <f>G121*30.126/1000</f>
        <v>26000.003292</v>
      </c>
      <c r="I121" s="234">
        <v>863042</v>
      </c>
      <c r="J121" s="234">
        <f>I121*30.126/1000</f>
        <v>26000.003292</v>
      </c>
      <c r="K121" s="234"/>
      <c r="L121" s="234"/>
      <c r="M121" s="234"/>
      <c r="N121" s="234"/>
      <c r="O121" s="234">
        <v>863042</v>
      </c>
      <c r="P121" s="459">
        <f>O121*30.126/1000</f>
        <v>26000.003292</v>
      </c>
      <c r="Q121" s="775">
        <v>863042</v>
      </c>
      <c r="R121" s="1915">
        <f>Q121*30.126/1000</f>
        <v>26000.003292</v>
      </c>
      <c r="S121" s="784"/>
      <c r="T121" s="234"/>
      <c r="U121" s="234"/>
      <c r="V121" s="483"/>
    </row>
    <row r="122" spans="1:22" s="30" customFormat="1" ht="19.5" customHeight="1">
      <c r="A122" s="75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s="30" customFormat="1" ht="19.5" customHeight="1">
      <c r="A123" s="75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s="30" customFormat="1" ht="19.5" customHeight="1">
      <c r="A124" s="75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s="30" customFormat="1" ht="19.5" customHeight="1">
      <c r="A125" s="75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s="30" customFormat="1" ht="19.5" customHeight="1">
      <c r="A126" s="75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s="30" customFormat="1" ht="19.5" customHeight="1">
      <c r="A127" s="75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s="30" customFormat="1" ht="19.5" customHeight="1" thickBot="1">
      <c r="A128" s="75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s="23" customFormat="1" ht="39.75" customHeight="1" thickTop="1">
      <c r="A129" s="2851"/>
      <c r="B129" s="2847"/>
      <c r="C129" s="360" t="s">
        <v>506</v>
      </c>
      <c r="D129" s="261" t="s">
        <v>507</v>
      </c>
      <c r="E129" s="2850" t="s">
        <v>182</v>
      </c>
      <c r="F129" s="2841"/>
      <c r="G129" s="991" t="s">
        <v>1022</v>
      </c>
      <c r="H129" s="992" t="s">
        <v>510</v>
      </c>
      <c r="I129" s="2846" t="s">
        <v>87</v>
      </c>
      <c r="J129" s="2846"/>
      <c r="K129" s="2871" t="s">
        <v>509</v>
      </c>
      <c r="L129" s="2871"/>
      <c r="M129" s="2871" t="s">
        <v>508</v>
      </c>
      <c r="N129" s="2871"/>
      <c r="O129" s="2866" t="s">
        <v>952</v>
      </c>
      <c r="P129" s="2867"/>
      <c r="Q129" s="2861" t="s">
        <v>183</v>
      </c>
      <c r="R129" s="2862"/>
      <c r="S129" s="2861" t="s">
        <v>725</v>
      </c>
      <c r="T129" s="2863"/>
      <c r="U129" s="2863" t="s">
        <v>726</v>
      </c>
      <c r="V129" s="2864"/>
    </row>
    <row r="130" spans="1:22" s="24" customFormat="1" ht="15" customHeight="1" thickBot="1">
      <c r="A130" s="2848"/>
      <c r="B130" s="2849"/>
      <c r="C130" s="347" t="s">
        <v>966</v>
      </c>
      <c r="D130" s="262" t="s">
        <v>966</v>
      </c>
      <c r="E130" s="238" t="s">
        <v>435</v>
      </c>
      <c r="F130" s="993" t="s">
        <v>966</v>
      </c>
      <c r="G130" s="797" t="s">
        <v>435</v>
      </c>
      <c r="H130" s="994" t="s">
        <v>966</v>
      </c>
      <c r="I130" s="995" t="s">
        <v>435</v>
      </c>
      <c r="J130" s="995" t="s">
        <v>966</v>
      </c>
      <c r="K130" s="239" t="s">
        <v>435</v>
      </c>
      <c r="L130" s="239" t="s">
        <v>966</v>
      </c>
      <c r="M130" s="239" t="s">
        <v>435</v>
      </c>
      <c r="N130" s="239" t="s">
        <v>966</v>
      </c>
      <c r="O130" s="996" t="s">
        <v>435</v>
      </c>
      <c r="P130" s="1580" t="s">
        <v>966</v>
      </c>
      <c r="Q130" s="238" t="s">
        <v>435</v>
      </c>
      <c r="R130" s="1387" t="s">
        <v>966</v>
      </c>
      <c r="S130" s="238" t="s">
        <v>435</v>
      </c>
      <c r="T130" s="239" t="s">
        <v>966</v>
      </c>
      <c r="U130" s="239" t="s">
        <v>435</v>
      </c>
      <c r="V130" s="307" t="s">
        <v>966</v>
      </c>
    </row>
    <row r="131" spans="1:22" s="420" customFormat="1" ht="19.5" customHeight="1">
      <c r="A131" s="1776" t="s">
        <v>738</v>
      </c>
      <c r="B131" s="1656" t="s">
        <v>318</v>
      </c>
      <c r="C131" s="1013" t="e">
        <f>C134+#REF!</f>
        <v>#REF!</v>
      </c>
      <c r="D131" s="1014" t="e">
        <f>D134+#REF!</f>
        <v>#REF!</v>
      </c>
      <c r="E131" s="1015">
        <f>E134</f>
        <v>13686</v>
      </c>
      <c r="F131" s="1014">
        <f aca="true" t="shared" si="40" ref="F131:R131">F134</f>
        <v>412.304436</v>
      </c>
      <c r="G131" s="1013">
        <f t="shared" si="40"/>
        <v>7402</v>
      </c>
      <c r="H131" s="1015">
        <f t="shared" si="40"/>
        <v>222.99265200000002</v>
      </c>
      <c r="I131" s="1015">
        <f t="shared" si="40"/>
        <v>7402</v>
      </c>
      <c r="J131" s="1015">
        <f t="shared" si="40"/>
        <v>222.99265200000002</v>
      </c>
      <c r="K131" s="1015">
        <f t="shared" si="40"/>
        <v>0</v>
      </c>
      <c r="L131" s="1015">
        <f t="shared" si="40"/>
        <v>0</v>
      </c>
      <c r="M131" s="1015">
        <f t="shared" si="40"/>
        <v>0</v>
      </c>
      <c r="N131" s="1015">
        <f t="shared" si="40"/>
        <v>0</v>
      </c>
      <c r="O131" s="1015">
        <f t="shared" si="40"/>
        <v>40596</v>
      </c>
      <c r="P131" s="1651">
        <f t="shared" si="40"/>
        <v>1222.995096</v>
      </c>
      <c r="Q131" s="1015">
        <f t="shared" si="40"/>
        <v>40596</v>
      </c>
      <c r="R131" s="1507">
        <f t="shared" si="40"/>
        <v>1222.995096</v>
      </c>
      <c r="S131" s="1015">
        <f aca="true" t="shared" si="41" ref="S131:V133">S134</f>
        <v>0</v>
      </c>
      <c r="T131" s="1016">
        <f t="shared" si="41"/>
        <v>0</v>
      </c>
      <c r="U131" s="1016">
        <f t="shared" si="41"/>
        <v>0</v>
      </c>
      <c r="V131" s="1017">
        <f t="shared" si="41"/>
        <v>0</v>
      </c>
    </row>
    <row r="132" spans="1:22" s="30" customFormat="1" ht="15" customHeight="1">
      <c r="A132" s="1020"/>
      <c r="B132" s="1657" t="s">
        <v>7</v>
      </c>
      <c r="C132" s="1022" t="e">
        <f>C135+#REF!</f>
        <v>#REF!</v>
      </c>
      <c r="D132" s="1023" t="e">
        <f>D135+#REF!</f>
        <v>#REF!</v>
      </c>
      <c r="E132" s="1024">
        <f>E135</f>
        <v>7711</v>
      </c>
      <c r="F132" s="1023">
        <f aca="true" t="shared" si="42" ref="F132:R132">F135</f>
        <v>232.30158600000001</v>
      </c>
      <c r="G132" s="1022">
        <f t="shared" si="42"/>
        <v>4083</v>
      </c>
      <c r="H132" s="1024">
        <f t="shared" si="42"/>
        <v>123.004458</v>
      </c>
      <c r="I132" s="1024">
        <f t="shared" si="42"/>
        <v>4083</v>
      </c>
      <c r="J132" s="1024">
        <f t="shared" si="42"/>
        <v>123.004458</v>
      </c>
      <c r="K132" s="1024">
        <f t="shared" si="42"/>
        <v>0</v>
      </c>
      <c r="L132" s="1024">
        <f t="shared" si="42"/>
        <v>0</v>
      </c>
      <c r="M132" s="1024">
        <f t="shared" si="42"/>
        <v>0</v>
      </c>
      <c r="N132" s="1024">
        <f t="shared" si="42"/>
        <v>0</v>
      </c>
      <c r="O132" s="1024">
        <f t="shared" si="42"/>
        <v>37277</v>
      </c>
      <c r="P132" s="1652">
        <f t="shared" si="42"/>
        <v>1123.006902</v>
      </c>
      <c r="Q132" s="1024">
        <f t="shared" si="42"/>
        <v>37277</v>
      </c>
      <c r="R132" s="1508">
        <f t="shared" si="42"/>
        <v>1123.006902</v>
      </c>
      <c r="S132" s="1024">
        <f t="shared" si="41"/>
        <v>0</v>
      </c>
      <c r="T132" s="1025">
        <f t="shared" si="41"/>
        <v>0</v>
      </c>
      <c r="U132" s="1025">
        <f t="shared" si="41"/>
        <v>0</v>
      </c>
      <c r="V132" s="1026">
        <f t="shared" si="41"/>
        <v>0</v>
      </c>
    </row>
    <row r="133" spans="1:22" s="49" customFormat="1" ht="15" customHeight="1">
      <c r="A133" s="1029"/>
      <c r="B133" s="1658" t="s">
        <v>8</v>
      </c>
      <c r="C133" s="1031" t="e">
        <f>C136+#REF!</f>
        <v>#REF!</v>
      </c>
      <c r="D133" s="1032" t="e">
        <f>D136+#REF!</f>
        <v>#REF!</v>
      </c>
      <c r="E133" s="1033">
        <f>E136</f>
        <v>5975</v>
      </c>
      <c r="F133" s="1032">
        <f aca="true" t="shared" si="43" ref="F133:R133">F136</f>
        <v>180.00285</v>
      </c>
      <c r="G133" s="1031">
        <f t="shared" si="43"/>
        <v>3319</v>
      </c>
      <c r="H133" s="1033">
        <f t="shared" si="43"/>
        <v>99.98819400000001</v>
      </c>
      <c r="I133" s="1033">
        <f t="shared" si="43"/>
        <v>3319</v>
      </c>
      <c r="J133" s="1033">
        <f t="shared" si="43"/>
        <v>99.98819400000001</v>
      </c>
      <c r="K133" s="1033">
        <f t="shared" si="43"/>
        <v>0</v>
      </c>
      <c r="L133" s="1033">
        <f t="shared" si="43"/>
        <v>0</v>
      </c>
      <c r="M133" s="1033">
        <f t="shared" si="43"/>
        <v>0</v>
      </c>
      <c r="N133" s="1033">
        <f t="shared" si="43"/>
        <v>0</v>
      </c>
      <c r="O133" s="1033">
        <f t="shared" si="43"/>
        <v>3319</v>
      </c>
      <c r="P133" s="1653">
        <f t="shared" si="43"/>
        <v>99.98819400000001</v>
      </c>
      <c r="Q133" s="1033">
        <f t="shared" si="43"/>
        <v>3319</v>
      </c>
      <c r="R133" s="1509">
        <f t="shared" si="43"/>
        <v>99.98819400000001</v>
      </c>
      <c r="S133" s="1033">
        <f t="shared" si="41"/>
        <v>0</v>
      </c>
      <c r="T133" s="1034">
        <f t="shared" si="41"/>
        <v>0</v>
      </c>
      <c r="U133" s="1034">
        <f t="shared" si="41"/>
        <v>0</v>
      </c>
      <c r="V133" s="1035">
        <f t="shared" si="41"/>
        <v>0</v>
      </c>
    </row>
    <row r="134" spans="1:22" s="49" customFormat="1" ht="15" customHeight="1">
      <c r="A134" s="1038"/>
      <c r="B134" s="1659" t="s">
        <v>965</v>
      </c>
      <c r="C134" s="1040" t="e">
        <f>C140+C143+#REF!</f>
        <v>#REF!</v>
      </c>
      <c r="D134" s="1041" t="e">
        <f>D140+D143+#REF!</f>
        <v>#REF!</v>
      </c>
      <c r="E134" s="1042">
        <f>E137+E140+E143</f>
        <v>13686</v>
      </c>
      <c r="F134" s="1041">
        <f aca="true" t="shared" si="44" ref="F134:R134">F137+F140+F143</f>
        <v>412.304436</v>
      </c>
      <c r="G134" s="1040">
        <f t="shared" si="44"/>
        <v>7402</v>
      </c>
      <c r="H134" s="1042">
        <f t="shared" si="44"/>
        <v>222.99265200000002</v>
      </c>
      <c r="I134" s="1042">
        <f t="shared" si="44"/>
        <v>7402</v>
      </c>
      <c r="J134" s="1042">
        <f t="shared" si="44"/>
        <v>222.99265200000002</v>
      </c>
      <c r="K134" s="1042">
        <f t="shared" si="44"/>
        <v>0</v>
      </c>
      <c r="L134" s="1042">
        <f t="shared" si="44"/>
        <v>0</v>
      </c>
      <c r="M134" s="1042">
        <f t="shared" si="44"/>
        <v>0</v>
      </c>
      <c r="N134" s="1042">
        <f t="shared" si="44"/>
        <v>0</v>
      </c>
      <c r="O134" s="1042">
        <f t="shared" si="44"/>
        <v>40596</v>
      </c>
      <c r="P134" s="1654">
        <f t="shared" si="44"/>
        <v>1222.995096</v>
      </c>
      <c r="Q134" s="1042">
        <f t="shared" si="44"/>
        <v>40596</v>
      </c>
      <c r="R134" s="1510">
        <f t="shared" si="44"/>
        <v>1222.995096</v>
      </c>
      <c r="S134" s="1042">
        <f aca="true" t="shared" si="45" ref="S134:V136">S137+S140+S143</f>
        <v>0</v>
      </c>
      <c r="T134" s="1043">
        <f t="shared" si="45"/>
        <v>0</v>
      </c>
      <c r="U134" s="1043">
        <f t="shared" si="45"/>
        <v>0</v>
      </c>
      <c r="V134" s="1044">
        <f t="shared" si="45"/>
        <v>0</v>
      </c>
    </row>
    <row r="135" spans="1:22" s="30" customFormat="1" ht="15" customHeight="1">
      <c r="A135" s="1020"/>
      <c r="B135" s="1657" t="s">
        <v>7</v>
      </c>
      <c r="C135" s="1022" t="e">
        <f>C141+C144+#REF!</f>
        <v>#REF!</v>
      </c>
      <c r="D135" s="1023" t="e">
        <f>D141+D144+#REF!</f>
        <v>#REF!</v>
      </c>
      <c r="E135" s="1024">
        <f>E138+E141+E144</f>
        <v>7711</v>
      </c>
      <c r="F135" s="1023">
        <f aca="true" t="shared" si="46" ref="F135:R135">F138+F141+F144</f>
        <v>232.30158600000001</v>
      </c>
      <c r="G135" s="1022">
        <f t="shared" si="46"/>
        <v>4083</v>
      </c>
      <c r="H135" s="1024">
        <f t="shared" si="46"/>
        <v>123.004458</v>
      </c>
      <c r="I135" s="1024">
        <f t="shared" si="46"/>
        <v>4083</v>
      </c>
      <c r="J135" s="1024">
        <f t="shared" si="46"/>
        <v>123.004458</v>
      </c>
      <c r="K135" s="1024">
        <f t="shared" si="46"/>
        <v>0</v>
      </c>
      <c r="L135" s="1024">
        <f t="shared" si="46"/>
        <v>0</v>
      </c>
      <c r="M135" s="1024">
        <f t="shared" si="46"/>
        <v>0</v>
      </c>
      <c r="N135" s="1024">
        <f t="shared" si="46"/>
        <v>0</v>
      </c>
      <c r="O135" s="1024">
        <f t="shared" si="46"/>
        <v>37277</v>
      </c>
      <c r="P135" s="1652">
        <f t="shared" si="46"/>
        <v>1123.006902</v>
      </c>
      <c r="Q135" s="1024">
        <f t="shared" si="46"/>
        <v>37277</v>
      </c>
      <c r="R135" s="1508">
        <f t="shared" si="46"/>
        <v>1123.006902</v>
      </c>
      <c r="S135" s="1024">
        <f t="shared" si="45"/>
        <v>0</v>
      </c>
      <c r="T135" s="1025">
        <f t="shared" si="45"/>
        <v>0</v>
      </c>
      <c r="U135" s="1025">
        <f t="shared" si="45"/>
        <v>0</v>
      </c>
      <c r="V135" s="1026">
        <f t="shared" si="45"/>
        <v>0</v>
      </c>
    </row>
    <row r="136" spans="1:22" s="49" customFormat="1" ht="15" customHeight="1">
      <c r="A136" s="1047"/>
      <c r="B136" s="1660" t="s">
        <v>8</v>
      </c>
      <c r="C136" s="1049" t="e">
        <f>C142+C145+#REF!</f>
        <v>#REF!</v>
      </c>
      <c r="D136" s="1050" t="e">
        <f>D142+D145+#REF!</f>
        <v>#REF!</v>
      </c>
      <c r="E136" s="1051">
        <f>E139+E142+E145</f>
        <v>5975</v>
      </c>
      <c r="F136" s="1050">
        <f aca="true" t="shared" si="47" ref="F136:R136">F139+F142+F145</f>
        <v>180.00285</v>
      </c>
      <c r="G136" s="1049">
        <f t="shared" si="47"/>
        <v>3319</v>
      </c>
      <c r="H136" s="1051">
        <f t="shared" si="47"/>
        <v>99.98819400000001</v>
      </c>
      <c r="I136" s="1051">
        <f t="shared" si="47"/>
        <v>3319</v>
      </c>
      <c r="J136" s="1051">
        <f t="shared" si="47"/>
        <v>99.98819400000001</v>
      </c>
      <c r="K136" s="1051">
        <f t="shared" si="47"/>
        <v>0</v>
      </c>
      <c r="L136" s="1051">
        <f t="shared" si="47"/>
        <v>0</v>
      </c>
      <c r="M136" s="1051">
        <f t="shared" si="47"/>
        <v>0</v>
      </c>
      <c r="N136" s="1051">
        <f t="shared" si="47"/>
        <v>0</v>
      </c>
      <c r="O136" s="1051">
        <f t="shared" si="47"/>
        <v>3319</v>
      </c>
      <c r="P136" s="1655">
        <f t="shared" si="47"/>
        <v>99.98819400000001</v>
      </c>
      <c r="Q136" s="1051">
        <f t="shared" si="47"/>
        <v>3319</v>
      </c>
      <c r="R136" s="1511">
        <f t="shared" si="47"/>
        <v>99.98819400000001</v>
      </c>
      <c r="S136" s="1051">
        <f t="shared" si="45"/>
        <v>0</v>
      </c>
      <c r="T136" s="1052">
        <f t="shared" si="45"/>
        <v>0</v>
      </c>
      <c r="U136" s="1052">
        <f t="shared" si="45"/>
        <v>0</v>
      </c>
      <c r="V136" s="1053">
        <f t="shared" si="45"/>
        <v>0</v>
      </c>
    </row>
    <row r="137" spans="1:22" s="24" customFormat="1" ht="15" customHeight="1">
      <c r="A137" s="202"/>
      <c r="B137" s="1661" t="s">
        <v>279</v>
      </c>
      <c r="C137" s="969">
        <f>SUM(C138:C139)</f>
        <v>379</v>
      </c>
      <c r="D137" s="1085">
        <f aca="true" t="shared" si="48" ref="D137:N137">SUM(D138:D139)</f>
        <v>575</v>
      </c>
      <c r="E137" s="1086">
        <f t="shared" si="48"/>
        <v>0</v>
      </c>
      <c r="F137" s="1085">
        <f t="shared" si="48"/>
        <v>0</v>
      </c>
      <c r="G137" s="969">
        <f t="shared" si="48"/>
        <v>0</v>
      </c>
      <c r="H137" s="1087">
        <f t="shared" si="48"/>
        <v>0</v>
      </c>
      <c r="I137" s="1087">
        <f t="shared" si="48"/>
        <v>0</v>
      </c>
      <c r="J137" s="1087">
        <f t="shared" si="48"/>
        <v>0</v>
      </c>
      <c r="K137" s="1087">
        <f t="shared" si="48"/>
        <v>0</v>
      </c>
      <c r="L137" s="1087">
        <f t="shared" si="48"/>
        <v>0</v>
      </c>
      <c r="M137" s="1087">
        <f t="shared" si="48"/>
        <v>0</v>
      </c>
      <c r="N137" s="1087">
        <f t="shared" si="48"/>
        <v>0</v>
      </c>
      <c r="O137" s="1087">
        <f aca="true" t="shared" si="49" ref="O137:V137">SUM(O138:O139)</f>
        <v>33194</v>
      </c>
      <c r="P137" s="1512">
        <f t="shared" si="49"/>
        <v>1000.002444</v>
      </c>
      <c r="Q137" s="1086">
        <f t="shared" si="49"/>
        <v>33194</v>
      </c>
      <c r="R137" s="1512">
        <f t="shared" si="49"/>
        <v>1000.002444</v>
      </c>
      <c r="S137" s="1086">
        <f t="shared" si="49"/>
        <v>0</v>
      </c>
      <c r="T137" s="1087">
        <f t="shared" si="49"/>
        <v>0</v>
      </c>
      <c r="U137" s="1087">
        <f t="shared" si="49"/>
        <v>0</v>
      </c>
      <c r="V137" s="964">
        <f t="shared" si="49"/>
        <v>0</v>
      </c>
    </row>
    <row r="138" spans="1:22" s="30" customFormat="1" ht="15" customHeight="1">
      <c r="A138" s="1088"/>
      <c r="B138" s="50" t="s">
        <v>340</v>
      </c>
      <c r="C138" s="782">
        <v>379</v>
      </c>
      <c r="D138" s="8">
        <v>575</v>
      </c>
      <c r="E138" s="35"/>
      <c r="F138" s="8"/>
      <c r="G138" s="782"/>
      <c r="H138" s="9"/>
      <c r="I138" s="9"/>
      <c r="J138" s="9"/>
      <c r="K138" s="9"/>
      <c r="L138" s="9"/>
      <c r="M138" s="9"/>
      <c r="N138" s="9"/>
      <c r="O138" s="9">
        <v>33194</v>
      </c>
      <c r="P138" s="382">
        <f>O138*30.126/1000</f>
        <v>1000.002444</v>
      </c>
      <c r="Q138" s="35">
        <v>33194</v>
      </c>
      <c r="R138" s="382">
        <f>Q138*30.126/1000</f>
        <v>1000.002444</v>
      </c>
      <c r="S138" s="35"/>
      <c r="T138" s="9"/>
      <c r="U138" s="9"/>
      <c r="V138" s="139"/>
    </row>
    <row r="139" spans="1:22" s="386" customFormat="1" ht="15" customHeight="1">
      <c r="A139" s="1089"/>
      <c r="B139" s="1662" t="s">
        <v>341</v>
      </c>
      <c r="C139" s="1090"/>
      <c r="D139" s="1091"/>
      <c r="E139" s="1092"/>
      <c r="F139" s="1091"/>
      <c r="G139" s="1090"/>
      <c r="H139" s="1093"/>
      <c r="I139" s="1093"/>
      <c r="J139" s="1093"/>
      <c r="K139" s="1093"/>
      <c r="L139" s="1093"/>
      <c r="M139" s="1093"/>
      <c r="N139" s="1093"/>
      <c r="O139" s="1093">
        <v>0</v>
      </c>
      <c r="P139" s="1513">
        <f>O139*30.126/1000</f>
        <v>0</v>
      </c>
      <c r="Q139" s="1092">
        <v>0</v>
      </c>
      <c r="R139" s="1513">
        <f>Q139*30.126/1000</f>
        <v>0</v>
      </c>
      <c r="S139" s="1092"/>
      <c r="T139" s="1093"/>
      <c r="U139" s="1093"/>
      <c r="V139" s="1094"/>
    </row>
    <row r="140" spans="1:22" s="24" customFormat="1" ht="15" customHeight="1">
      <c r="A140" s="202"/>
      <c r="B140" s="1661" t="s">
        <v>1220</v>
      </c>
      <c r="C140" s="969">
        <f>SUM(C141:C142)</f>
        <v>379</v>
      </c>
      <c r="D140" s="1085">
        <f aca="true" t="shared" si="50" ref="D140:N140">SUM(D141:D142)</f>
        <v>575</v>
      </c>
      <c r="E140" s="1086">
        <f t="shared" si="50"/>
        <v>408</v>
      </c>
      <c r="F140" s="1085">
        <f t="shared" si="50"/>
        <v>12.291408</v>
      </c>
      <c r="G140" s="969">
        <f t="shared" si="50"/>
        <v>0</v>
      </c>
      <c r="H140" s="1087">
        <f t="shared" si="50"/>
        <v>0</v>
      </c>
      <c r="I140" s="1087">
        <f t="shared" si="50"/>
        <v>0</v>
      </c>
      <c r="J140" s="1087">
        <f t="shared" si="50"/>
        <v>0</v>
      </c>
      <c r="K140" s="1087">
        <f t="shared" si="50"/>
        <v>0</v>
      </c>
      <c r="L140" s="1087">
        <f t="shared" si="50"/>
        <v>0</v>
      </c>
      <c r="M140" s="1087">
        <f t="shared" si="50"/>
        <v>0</v>
      </c>
      <c r="N140" s="1087">
        <f t="shared" si="50"/>
        <v>0</v>
      </c>
      <c r="O140" s="1087">
        <f aca="true" t="shared" si="51" ref="O140:V140">SUM(O141:O142)</f>
        <v>0</v>
      </c>
      <c r="P140" s="1512">
        <f t="shared" si="51"/>
        <v>0</v>
      </c>
      <c r="Q140" s="1086">
        <f t="shared" si="51"/>
        <v>0</v>
      </c>
      <c r="R140" s="1512">
        <f t="shared" si="51"/>
        <v>0</v>
      </c>
      <c r="S140" s="1086">
        <f t="shared" si="51"/>
        <v>0</v>
      </c>
      <c r="T140" s="1087">
        <f t="shared" si="51"/>
        <v>0</v>
      </c>
      <c r="U140" s="1087">
        <f t="shared" si="51"/>
        <v>0</v>
      </c>
      <c r="V140" s="964">
        <f t="shared" si="51"/>
        <v>0</v>
      </c>
    </row>
    <row r="141" spans="1:22" s="30" customFormat="1" ht="15" customHeight="1">
      <c r="A141" s="1088"/>
      <c r="B141" s="50" t="s">
        <v>340</v>
      </c>
      <c r="C141" s="782">
        <v>379</v>
      </c>
      <c r="D141" s="8">
        <v>575</v>
      </c>
      <c r="E141" s="35">
        <v>408</v>
      </c>
      <c r="F141" s="8">
        <f>(E141*30.126)/1000</f>
        <v>12.291408</v>
      </c>
      <c r="G141" s="782"/>
      <c r="H141" s="9"/>
      <c r="I141" s="9"/>
      <c r="J141" s="9"/>
      <c r="K141" s="9"/>
      <c r="L141" s="9"/>
      <c r="M141" s="9"/>
      <c r="N141" s="9"/>
      <c r="O141" s="9"/>
      <c r="P141" s="382"/>
      <c r="Q141" s="35"/>
      <c r="R141" s="382"/>
      <c r="S141" s="35"/>
      <c r="T141" s="9"/>
      <c r="U141" s="9"/>
      <c r="V141" s="139"/>
    </row>
    <row r="142" spans="1:22" s="386" customFormat="1" ht="15" customHeight="1">
      <c r="A142" s="1089"/>
      <c r="B142" s="1662" t="s">
        <v>341</v>
      </c>
      <c r="C142" s="1090"/>
      <c r="D142" s="1091"/>
      <c r="E142" s="1092">
        <v>0</v>
      </c>
      <c r="F142" s="1091">
        <v>0</v>
      </c>
      <c r="G142" s="1090"/>
      <c r="H142" s="1093"/>
      <c r="I142" s="1093"/>
      <c r="J142" s="1093"/>
      <c r="K142" s="1093"/>
      <c r="L142" s="1093"/>
      <c r="M142" s="1093"/>
      <c r="N142" s="1093"/>
      <c r="O142" s="1093"/>
      <c r="P142" s="1513"/>
      <c r="Q142" s="1092"/>
      <c r="R142" s="1513"/>
      <c r="S142" s="1092"/>
      <c r="T142" s="1093"/>
      <c r="U142" s="1093"/>
      <c r="V142" s="1094"/>
    </row>
    <row r="143" spans="1:22" s="24" customFormat="1" ht="15" customHeight="1">
      <c r="A143" s="202"/>
      <c r="B143" s="1663" t="s">
        <v>1221</v>
      </c>
      <c r="C143" s="970">
        <f>SUM(C144:C145)</f>
        <v>39</v>
      </c>
      <c r="D143" s="1095">
        <f aca="true" t="shared" si="52" ref="D143:N143">SUM(D144:D145)</f>
        <v>524</v>
      </c>
      <c r="E143" s="1096">
        <f t="shared" si="52"/>
        <v>13278</v>
      </c>
      <c r="F143" s="1095">
        <f t="shared" si="52"/>
        <v>400.013028</v>
      </c>
      <c r="G143" s="970">
        <f t="shared" si="52"/>
        <v>7402</v>
      </c>
      <c r="H143" s="1097">
        <f t="shared" si="52"/>
        <v>222.99265200000002</v>
      </c>
      <c r="I143" s="1097">
        <f t="shared" si="52"/>
        <v>7402</v>
      </c>
      <c r="J143" s="1097">
        <f t="shared" si="52"/>
        <v>222.99265200000002</v>
      </c>
      <c r="K143" s="1097">
        <f t="shared" si="52"/>
        <v>0</v>
      </c>
      <c r="L143" s="1097">
        <f t="shared" si="52"/>
        <v>0</v>
      </c>
      <c r="M143" s="1097">
        <f t="shared" si="52"/>
        <v>0</v>
      </c>
      <c r="N143" s="1097">
        <f t="shared" si="52"/>
        <v>0</v>
      </c>
      <c r="O143" s="1097">
        <f aca="true" t="shared" si="53" ref="O143:V143">SUM(O144:O145)</f>
        <v>7402</v>
      </c>
      <c r="P143" s="1514">
        <f t="shared" si="53"/>
        <v>222.99265200000002</v>
      </c>
      <c r="Q143" s="1096">
        <f t="shared" si="53"/>
        <v>7402</v>
      </c>
      <c r="R143" s="1514">
        <f t="shared" si="53"/>
        <v>222.99265200000002</v>
      </c>
      <c r="S143" s="1096">
        <f t="shared" si="53"/>
        <v>0</v>
      </c>
      <c r="T143" s="1097">
        <f t="shared" si="53"/>
        <v>0</v>
      </c>
      <c r="U143" s="1097">
        <f t="shared" si="53"/>
        <v>0</v>
      </c>
      <c r="V143" s="965">
        <f t="shared" si="53"/>
        <v>0</v>
      </c>
    </row>
    <row r="144" spans="1:22" s="30" customFormat="1" ht="15" customHeight="1">
      <c r="A144" s="192"/>
      <c r="B144" s="50" t="s">
        <v>340</v>
      </c>
      <c r="C144" s="782">
        <v>39</v>
      </c>
      <c r="D144" s="8">
        <v>524</v>
      </c>
      <c r="E144" s="35">
        <v>7303</v>
      </c>
      <c r="F144" s="8">
        <f>(E144*30.126)/1000</f>
        <v>220.01017800000002</v>
      </c>
      <c r="G144" s="782">
        <v>4083</v>
      </c>
      <c r="H144" s="9">
        <f>G144*30.126/1000</f>
        <v>123.004458</v>
      </c>
      <c r="I144" s="9">
        <v>4083</v>
      </c>
      <c r="J144" s="9">
        <f>I144*30.126/1000</f>
        <v>123.004458</v>
      </c>
      <c r="K144" s="9"/>
      <c r="L144" s="9"/>
      <c r="M144" s="9"/>
      <c r="N144" s="9"/>
      <c r="O144" s="9">
        <v>4083</v>
      </c>
      <c r="P144" s="382">
        <f>O144*30.126/1000</f>
        <v>123.004458</v>
      </c>
      <c r="Q144" s="35">
        <v>4083</v>
      </c>
      <c r="R144" s="382">
        <f>Q144*30.126/1000</f>
        <v>123.004458</v>
      </c>
      <c r="S144" s="35"/>
      <c r="T144" s="9"/>
      <c r="U144" s="9"/>
      <c r="V144" s="139"/>
    </row>
    <row r="145" spans="1:22" s="386" customFormat="1" ht="15" customHeight="1" thickBot="1">
      <c r="A145" s="1664"/>
      <c r="B145" s="1665" t="s">
        <v>341</v>
      </c>
      <c r="C145" s="1090">
        <v>0</v>
      </c>
      <c r="D145" s="1091">
        <v>0</v>
      </c>
      <c r="E145" s="1649">
        <v>5975</v>
      </c>
      <c r="F145" s="1650">
        <f>(E145*30.126)/1000</f>
        <v>180.00285</v>
      </c>
      <c r="G145" s="1090">
        <v>3319</v>
      </c>
      <c r="H145" s="1093">
        <f>G145*30.126/1000</f>
        <v>99.98819400000001</v>
      </c>
      <c r="I145" s="1093">
        <v>3319</v>
      </c>
      <c r="J145" s="1093">
        <f>I145*30.126/1000</f>
        <v>99.98819400000001</v>
      </c>
      <c r="K145" s="1093"/>
      <c r="L145" s="1093"/>
      <c r="M145" s="1093"/>
      <c r="N145" s="1093"/>
      <c r="O145" s="1093">
        <v>3319</v>
      </c>
      <c r="P145" s="1513">
        <f>O145*30.126/1000</f>
        <v>99.98819400000001</v>
      </c>
      <c r="Q145" s="1649">
        <v>3319</v>
      </c>
      <c r="R145" s="1650">
        <f>Q145*30.126/1000</f>
        <v>99.98819400000001</v>
      </c>
      <c r="S145" s="1489"/>
      <c r="T145" s="1491"/>
      <c r="U145" s="1491"/>
      <c r="V145" s="1492"/>
    </row>
    <row r="146" spans="1:22" s="30" customFormat="1" ht="19.5" customHeight="1" thickBot="1">
      <c r="A146" s="75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s="23" customFormat="1" ht="39.75" customHeight="1" thickTop="1">
      <c r="A147" s="2872"/>
      <c r="B147" s="2873"/>
      <c r="C147" s="539" t="s">
        <v>506</v>
      </c>
      <c r="D147" s="348" t="s">
        <v>507</v>
      </c>
      <c r="E147" s="2855" t="s">
        <v>182</v>
      </c>
      <c r="F147" s="2852"/>
      <c r="G147" s="460" t="s">
        <v>510</v>
      </c>
      <c r="H147" s="496" t="s">
        <v>510</v>
      </c>
      <c r="I147" s="2853" t="s">
        <v>87</v>
      </c>
      <c r="J147" s="2853"/>
      <c r="K147" s="2870" t="s">
        <v>509</v>
      </c>
      <c r="L147" s="2870"/>
      <c r="M147" s="2870" t="s">
        <v>508</v>
      </c>
      <c r="N147" s="2870"/>
      <c r="O147" s="2868" t="s">
        <v>952</v>
      </c>
      <c r="P147" s="2869"/>
      <c r="Q147" s="2861" t="s">
        <v>183</v>
      </c>
      <c r="R147" s="2862"/>
      <c r="S147" s="2861" t="s">
        <v>725</v>
      </c>
      <c r="T147" s="2863"/>
      <c r="U147" s="2863" t="s">
        <v>726</v>
      </c>
      <c r="V147" s="2864"/>
    </row>
    <row r="148" spans="1:22" s="24" customFormat="1" ht="15" customHeight="1" thickBot="1">
      <c r="A148" s="2856"/>
      <c r="B148" s="2854"/>
      <c r="C148" s="540" t="s">
        <v>966</v>
      </c>
      <c r="D148" s="349" t="s">
        <v>966</v>
      </c>
      <c r="E148" s="240" t="s">
        <v>435</v>
      </c>
      <c r="F148" s="981" t="s">
        <v>966</v>
      </c>
      <c r="G148" s="461" t="s">
        <v>435</v>
      </c>
      <c r="H148" s="352" t="s">
        <v>966</v>
      </c>
      <c r="I148" s="499" t="s">
        <v>435</v>
      </c>
      <c r="J148" s="499" t="s">
        <v>966</v>
      </c>
      <c r="K148" s="241" t="s">
        <v>435</v>
      </c>
      <c r="L148" s="241" t="s">
        <v>966</v>
      </c>
      <c r="M148" s="241" t="s">
        <v>435</v>
      </c>
      <c r="N148" s="241" t="s">
        <v>966</v>
      </c>
      <c r="O148" s="500" t="s">
        <v>435</v>
      </c>
      <c r="P148" s="1572" t="s">
        <v>966</v>
      </c>
      <c r="Q148" s="238" t="s">
        <v>435</v>
      </c>
      <c r="R148" s="1387" t="s">
        <v>966</v>
      </c>
      <c r="S148" s="238" t="s">
        <v>435</v>
      </c>
      <c r="T148" s="239" t="s">
        <v>966</v>
      </c>
      <c r="U148" s="239" t="s">
        <v>435</v>
      </c>
      <c r="V148" s="307" t="s">
        <v>966</v>
      </c>
    </row>
    <row r="149" spans="1:22" s="23" customFormat="1" ht="19.5" customHeight="1">
      <c r="A149" s="1666" t="s">
        <v>347</v>
      </c>
      <c r="B149" s="1667" t="s">
        <v>9</v>
      </c>
      <c r="C149" s="541" t="e">
        <f aca="true" t="shared" si="54" ref="C149:V149">C4+C131</f>
        <v>#REF!</v>
      </c>
      <c r="D149" s="488" t="e">
        <f t="shared" si="54"/>
        <v>#REF!</v>
      </c>
      <c r="E149" s="555">
        <f t="shared" si="54"/>
        <v>6911433</v>
      </c>
      <c r="F149" s="488">
        <f t="shared" si="54"/>
        <v>208213.53261400003</v>
      </c>
      <c r="G149" s="997">
        <f t="shared" si="54"/>
        <v>3911435</v>
      </c>
      <c r="H149" s="997">
        <f t="shared" si="54"/>
        <v>117835.89081000003</v>
      </c>
      <c r="I149" s="997">
        <f t="shared" si="54"/>
        <v>3877503</v>
      </c>
      <c r="J149" s="997">
        <f t="shared" si="54"/>
        <v>116813.65537800001</v>
      </c>
      <c r="K149" s="997">
        <f t="shared" si="54"/>
        <v>3643000</v>
      </c>
      <c r="L149" s="997">
        <f t="shared" si="54"/>
        <v>109749.01800000001</v>
      </c>
      <c r="M149" s="997">
        <f t="shared" si="54"/>
        <v>0</v>
      </c>
      <c r="N149" s="997">
        <f t="shared" si="54"/>
        <v>0</v>
      </c>
      <c r="O149" s="997">
        <f t="shared" si="54"/>
        <v>3877503</v>
      </c>
      <c r="P149" s="1672">
        <f t="shared" si="54"/>
        <v>116813.655378</v>
      </c>
      <c r="Q149" s="1621">
        <f t="shared" si="54"/>
        <v>4093920</v>
      </c>
      <c r="R149" s="1685">
        <f t="shared" si="54"/>
        <v>123333.43392000001</v>
      </c>
      <c r="S149" s="1621">
        <f t="shared" si="54"/>
        <v>3754324</v>
      </c>
      <c r="T149" s="422">
        <f t="shared" si="54"/>
        <v>113102.76482400001</v>
      </c>
      <c r="U149" s="422">
        <f t="shared" si="54"/>
        <v>3754324</v>
      </c>
      <c r="V149" s="547">
        <f t="shared" si="54"/>
        <v>113102.76482400001</v>
      </c>
    </row>
    <row r="150" spans="1:22" s="30" customFormat="1" ht="15" customHeight="1">
      <c r="A150" s="1668"/>
      <c r="B150" s="1669" t="s">
        <v>965</v>
      </c>
      <c r="C150" s="542" t="e">
        <f aca="true" t="shared" si="55" ref="C150:V150">C6+C120+C134</f>
        <v>#REF!</v>
      </c>
      <c r="D150" s="490" t="e">
        <f t="shared" si="55"/>
        <v>#REF!</v>
      </c>
      <c r="E150" s="556">
        <f t="shared" si="55"/>
        <v>1455961</v>
      </c>
      <c r="F150" s="490">
        <f t="shared" si="55"/>
        <v>43862.326836</v>
      </c>
      <c r="G150" s="998">
        <f t="shared" si="55"/>
        <v>1552328</v>
      </c>
      <c r="H150" s="998">
        <f t="shared" si="55"/>
        <v>46765.433328</v>
      </c>
      <c r="I150" s="998">
        <f t="shared" si="55"/>
        <v>1516396</v>
      </c>
      <c r="J150" s="998">
        <f t="shared" si="55"/>
        <v>45682.945896000005</v>
      </c>
      <c r="K150" s="998">
        <f t="shared" si="55"/>
        <v>0</v>
      </c>
      <c r="L150" s="998">
        <f t="shared" si="55"/>
        <v>0</v>
      </c>
      <c r="M150" s="998">
        <f t="shared" si="55"/>
        <v>0</v>
      </c>
      <c r="N150" s="998">
        <f t="shared" si="55"/>
        <v>0</v>
      </c>
      <c r="O150" s="998">
        <f t="shared" si="55"/>
        <v>1516396</v>
      </c>
      <c r="P150" s="1673">
        <f t="shared" si="55"/>
        <v>45682.945896000005</v>
      </c>
      <c r="Q150" s="1622">
        <f t="shared" si="55"/>
        <v>1497993</v>
      </c>
      <c r="R150" s="1686">
        <f t="shared" si="55"/>
        <v>45128.537118</v>
      </c>
      <c r="S150" s="1622">
        <f t="shared" si="55"/>
        <v>1457397</v>
      </c>
      <c r="T150" s="424">
        <f t="shared" si="55"/>
        <v>43905.542022</v>
      </c>
      <c r="U150" s="424">
        <f t="shared" si="55"/>
        <v>1457397</v>
      </c>
      <c r="V150" s="549">
        <f t="shared" si="55"/>
        <v>43905.542022</v>
      </c>
    </row>
    <row r="151" spans="1:22" s="30" customFormat="1" ht="15" customHeight="1" thickBot="1">
      <c r="A151" s="1670"/>
      <c r="B151" s="1671" t="s">
        <v>967</v>
      </c>
      <c r="C151" s="543" t="e">
        <f>C32+#REF!</f>
        <v>#REF!</v>
      </c>
      <c r="D151" s="492" t="e">
        <f>D32+#REF!</f>
        <v>#REF!</v>
      </c>
      <c r="E151" s="982">
        <f>E32</f>
        <v>5455472</v>
      </c>
      <c r="F151" s="983">
        <f aca="true" t="shared" si="56" ref="F151:V151">F32</f>
        <v>164351.20577800003</v>
      </c>
      <c r="G151" s="999">
        <f t="shared" si="56"/>
        <v>2359107</v>
      </c>
      <c r="H151" s="999">
        <f t="shared" si="56"/>
        <v>71070.45748200001</v>
      </c>
      <c r="I151" s="999">
        <f t="shared" si="56"/>
        <v>2361107</v>
      </c>
      <c r="J151" s="999">
        <f t="shared" si="56"/>
        <v>71130.709482</v>
      </c>
      <c r="K151" s="999">
        <f t="shared" si="56"/>
        <v>3643000</v>
      </c>
      <c r="L151" s="999">
        <f t="shared" si="56"/>
        <v>109749.01800000001</v>
      </c>
      <c r="M151" s="999">
        <f t="shared" si="56"/>
        <v>0</v>
      </c>
      <c r="N151" s="999">
        <f t="shared" si="56"/>
        <v>0</v>
      </c>
      <c r="O151" s="999">
        <f t="shared" si="56"/>
        <v>2361107</v>
      </c>
      <c r="P151" s="1674">
        <f t="shared" si="56"/>
        <v>71130.709482</v>
      </c>
      <c r="Q151" s="2523">
        <f t="shared" si="56"/>
        <v>2595927</v>
      </c>
      <c r="R151" s="2524">
        <f t="shared" si="56"/>
        <v>78204.896802</v>
      </c>
      <c r="S151" s="1675">
        <f t="shared" si="56"/>
        <v>2296927</v>
      </c>
      <c r="T151" s="551">
        <f t="shared" si="56"/>
        <v>69197.222802</v>
      </c>
      <c r="U151" s="551">
        <f t="shared" si="56"/>
        <v>2296927</v>
      </c>
      <c r="V151" s="552">
        <f t="shared" si="56"/>
        <v>69197.222802</v>
      </c>
    </row>
    <row r="152" spans="1:22" s="30" customFormat="1" ht="12.75">
      <c r="A152" s="75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s="30" customFormat="1" ht="12.75">
      <c r="A153" s="75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s="30" customFormat="1" ht="12.75">
      <c r="A154" s="75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s="30" customFormat="1" ht="12.75">
      <c r="A155" s="7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s="30" customFormat="1" ht="12.75">
      <c r="A156" s="75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s="30" customFormat="1" ht="12.75">
      <c r="A157" s="75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s="30" customFormat="1" ht="12.75">
      <c r="A158" s="75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s="30" customFormat="1" ht="12.75">
      <c r="A159" s="75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s="30" customFormat="1" ht="12.75">
      <c r="A160" s="75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s="30" customFormat="1" ht="12.75">
      <c r="A161" s="75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s="30" customFormat="1" ht="12.75">
      <c r="A162" s="75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s="30" customFormat="1" ht="12.75">
      <c r="A163" s="75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s="30" customFormat="1" ht="12.75">
      <c r="A164" s="75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s="30" customFormat="1" ht="12.75">
      <c r="A165" s="7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s="30" customFormat="1" ht="12.75">
      <c r="A166" s="75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s="30" customFormat="1" ht="12.75">
      <c r="A167" s="75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s="30" customFormat="1" ht="12.75">
      <c r="A168" s="75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s="30" customFormat="1" ht="12.75">
      <c r="A169" s="7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s="30" customFormat="1" ht="12.75">
      <c r="A170" s="75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s="30" customFormat="1" ht="12.75">
      <c r="A171" s="7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s="30" customFormat="1" ht="12.75">
      <c r="A172" s="75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s="30" customFormat="1" ht="12.75">
      <c r="A173" s="75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s="30" customFormat="1" ht="12.75">
      <c r="A174" s="75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s="30" customFormat="1" ht="12.75">
      <c r="A175" s="7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s="30" customFormat="1" ht="12.75">
      <c r="A176" s="75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s="30" customFormat="1" ht="12.75">
      <c r="A177" s="75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s="30" customFormat="1" ht="12.75">
      <c r="A178" s="75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s="30" customFormat="1" ht="12.75">
      <c r="A179" s="75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s="30" customFormat="1" ht="12.75">
      <c r="A180" s="75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s="30" customFormat="1" ht="12.75">
      <c r="A181" s="75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s="30" customFormat="1" ht="12.75">
      <c r="A182" s="75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s="30" customFormat="1" ht="12.75">
      <c r="A183" s="75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s="30" customFormat="1" ht="12.75">
      <c r="A184" s="75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s="30" customFormat="1" ht="12.75">
      <c r="A185" s="7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s="30" customFormat="1" ht="12.75">
      <c r="A186" s="75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s="30" customFormat="1" ht="12.75">
      <c r="A187" s="75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s="30" customFormat="1" ht="12.75">
      <c r="A188" s="75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s="30" customFormat="1" ht="12.75">
      <c r="A189" s="75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s="30" customFormat="1" ht="12.75">
      <c r="A190" s="75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s="30" customFormat="1" ht="12.75">
      <c r="A191" s="75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s="30" customFormat="1" ht="12.75">
      <c r="A192" s="75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s="30" customFormat="1" ht="12.75">
      <c r="A193" s="75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s="30" customFormat="1" ht="12.75">
      <c r="A194" s="75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s="30" customFormat="1" ht="12.75">
      <c r="A195" s="75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s="30" customFormat="1" ht="12.75">
      <c r="A196" s="75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s="30" customFormat="1" ht="12.75">
      <c r="A197" s="75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s="30" customFormat="1" ht="12.75">
      <c r="A198" s="75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s="30" customFormat="1" ht="12.75">
      <c r="A199" s="75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s="30" customFormat="1" ht="12.75">
      <c r="A200" s="75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s="30" customFormat="1" ht="12.75">
      <c r="A201" s="7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s="30" customFormat="1" ht="12.75">
      <c r="A202" s="7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s="30" customFormat="1" ht="12.75">
      <c r="A203" s="75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s="30" customFormat="1" ht="12.75">
      <c r="A204" s="7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s="30" customFormat="1" ht="12.75">
      <c r="A205" s="7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s="30" customFormat="1" ht="12.75">
      <c r="A206" s="75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s="30" customFormat="1" ht="12.75">
      <c r="A207" s="75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s="30" customFormat="1" ht="12.75">
      <c r="A208" s="75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s="30" customFormat="1" ht="12.75">
      <c r="A209" s="75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s="30" customFormat="1" ht="12.75">
      <c r="A210" s="75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s="30" customFormat="1" ht="12.75">
      <c r="A211" s="75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s="30" customFormat="1" ht="12.75">
      <c r="A212" s="75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s="30" customFormat="1" ht="12.75">
      <c r="A213" s="75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s="30" customFormat="1" ht="12.75">
      <c r="A214" s="75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s="30" customFormat="1" ht="12.75">
      <c r="A215" s="7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s="30" customFormat="1" ht="12.75">
      <c r="A216" s="75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s="30" customFormat="1" ht="12.75">
      <c r="A217" s="75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s="30" customFormat="1" ht="12.75">
      <c r="A218" s="75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s="30" customFormat="1" ht="12.75">
      <c r="A219" s="75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s="30" customFormat="1" ht="12.75">
      <c r="A220" s="75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s="30" customFormat="1" ht="12.75">
      <c r="A221" s="75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s="30" customFormat="1" ht="12.75">
      <c r="A222" s="75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s="30" customFormat="1" ht="12.75">
      <c r="A223" s="75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s="30" customFormat="1" ht="12.75">
      <c r="A224" s="75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s="30" customFormat="1" ht="12.75">
      <c r="A225" s="75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s="30" customFormat="1" ht="12.75">
      <c r="A226" s="75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s="30" customFormat="1" ht="12.75">
      <c r="A227" s="75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s="30" customFormat="1" ht="12.75">
      <c r="A228" s="75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s="30" customFormat="1" ht="12.75">
      <c r="A229" s="75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s="30" customFormat="1" ht="12.75">
      <c r="A230" s="75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s="30" customFormat="1" ht="12.75">
      <c r="A231" s="75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s="30" customFormat="1" ht="12.75">
      <c r="A232" s="75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s="30" customFormat="1" ht="12.75">
      <c r="A233" s="75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s="30" customFormat="1" ht="12.75">
      <c r="A234" s="75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s="30" customFormat="1" ht="12.75">
      <c r="A235" s="75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s="30" customFormat="1" ht="12.75">
      <c r="A236" s="75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s="30" customFormat="1" ht="12.75">
      <c r="A237" s="75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s="30" customFormat="1" ht="12.75">
      <c r="A238" s="75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s="30" customFormat="1" ht="12.75">
      <c r="A239" s="75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s="30" customFormat="1" ht="12.75">
      <c r="A240" s="75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s="30" customFormat="1" ht="12.75">
      <c r="A241" s="75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s="30" customFormat="1" ht="12.75">
      <c r="A242" s="75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s="30" customFormat="1" ht="12.75">
      <c r="A243" s="75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s="30" customFormat="1" ht="12.75">
      <c r="A244" s="75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s="30" customFormat="1" ht="12.75">
      <c r="A245" s="75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s="30" customFormat="1" ht="12.75">
      <c r="A246" s="75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s="30" customFormat="1" ht="12.75">
      <c r="A247" s="75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s="30" customFormat="1" ht="12.75">
      <c r="A248" s="75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s="30" customFormat="1" ht="12.75">
      <c r="A249" s="75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s="30" customFormat="1" ht="12.75">
      <c r="A250" s="75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s="30" customFormat="1" ht="12.75">
      <c r="A251" s="75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s="30" customFormat="1" ht="12.75">
      <c r="A252" s="75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s="30" customFormat="1" ht="12.75">
      <c r="A253" s="75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s="30" customFormat="1" ht="12.75">
      <c r="A254" s="75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s="30" customFormat="1" ht="12.75">
      <c r="A255" s="75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s="30" customFormat="1" ht="12.75">
      <c r="A256" s="75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s="30" customFormat="1" ht="12.75">
      <c r="A257" s="75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s="30" customFormat="1" ht="12.75">
      <c r="A258" s="75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s="30" customFormat="1" ht="12.75">
      <c r="A259" s="75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s="30" customFormat="1" ht="12.75">
      <c r="A260" s="75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s="30" customFormat="1" ht="12.75">
      <c r="A261" s="75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s="30" customFormat="1" ht="12.75">
      <c r="A262" s="75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s="30" customFormat="1" ht="12.75">
      <c r="A263" s="75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s="30" customFormat="1" ht="12.75">
      <c r="A264" s="75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s="30" customFormat="1" ht="12.75">
      <c r="A265" s="75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s="30" customFormat="1" ht="12.75">
      <c r="A266" s="75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s="30" customFormat="1" ht="12.75">
      <c r="A267" s="75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s="30" customFormat="1" ht="12.75">
      <c r="A268" s="75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s="30" customFormat="1" ht="12.75">
      <c r="A269" s="75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s="30" customFormat="1" ht="12.75">
      <c r="A270" s="75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s="30" customFormat="1" ht="12.75">
      <c r="A271" s="75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s="30" customFormat="1" ht="12.75">
      <c r="A272" s="75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s="30" customFormat="1" ht="12.75">
      <c r="A273" s="75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s="30" customFormat="1" ht="12.75">
      <c r="A274" s="75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s="30" customFormat="1" ht="12.75">
      <c r="A275" s="75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s="30" customFormat="1" ht="12.75">
      <c r="A276" s="75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s="30" customFormat="1" ht="12.75">
      <c r="A277" s="75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s="30" customFormat="1" ht="12.75">
      <c r="A278" s="75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s="30" customFormat="1" ht="12.75">
      <c r="A279" s="75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s="30" customFormat="1" ht="12.75">
      <c r="A280" s="75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s="30" customFormat="1" ht="12.75">
      <c r="A281" s="75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s="30" customFormat="1" ht="12.75">
      <c r="A282" s="75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s="30" customFormat="1" ht="12.75">
      <c r="A283" s="75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s="30" customFormat="1" ht="12.75">
      <c r="A284" s="75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s="30" customFormat="1" ht="12.75">
      <c r="A285" s="75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s="30" customFormat="1" ht="12.75">
      <c r="A286" s="75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s="30" customFormat="1" ht="12.75">
      <c r="A287" s="75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s="30" customFormat="1" ht="12.75">
      <c r="A288" s="75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s="30" customFormat="1" ht="12.75">
      <c r="A289" s="75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s="30" customFormat="1" ht="12.75">
      <c r="A290" s="75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s="30" customFormat="1" ht="12.75">
      <c r="A291" s="75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s="30" customFormat="1" ht="12.75">
      <c r="A292" s="75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s="30" customFormat="1" ht="12.75">
      <c r="A293" s="75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s="30" customFormat="1" ht="12.75">
      <c r="A294" s="75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s="30" customFormat="1" ht="12.75">
      <c r="A295" s="75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s="30" customFormat="1" ht="12.75">
      <c r="A296" s="75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s="30" customFormat="1" ht="12.75">
      <c r="A297" s="75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s="30" customFormat="1" ht="12.75">
      <c r="A298" s="75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s="30" customFormat="1" ht="12.75">
      <c r="A299" s="75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s="30" customFormat="1" ht="12.75">
      <c r="A300" s="75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s="30" customFormat="1" ht="12.75">
      <c r="A301" s="75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s="30" customFormat="1" ht="12.75">
      <c r="A302" s="75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s="30" customFormat="1" ht="12.75">
      <c r="A303" s="75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s="30" customFormat="1" ht="12.75">
      <c r="A304" s="75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s="30" customFormat="1" ht="12.75">
      <c r="A305" s="75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s="30" customFormat="1" ht="12.75">
      <c r="A306" s="75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s="30" customFormat="1" ht="12.75">
      <c r="A307" s="75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s="30" customFormat="1" ht="12.75">
      <c r="A308" s="75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s="30" customFormat="1" ht="12.75">
      <c r="A309" s="75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s="30" customFormat="1" ht="12.75">
      <c r="A310" s="75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s="30" customFormat="1" ht="12.75">
      <c r="A311" s="75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s="30" customFormat="1" ht="12.75">
      <c r="A312" s="75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s="30" customFormat="1" ht="12.75">
      <c r="A313" s="75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s="30" customFormat="1" ht="12.75">
      <c r="A314" s="75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s="30" customFormat="1" ht="12.75">
      <c r="A315" s="75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s="30" customFormat="1" ht="12.75">
      <c r="A316" s="75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s="30" customFormat="1" ht="12.75">
      <c r="A317" s="75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s="30" customFormat="1" ht="12.75">
      <c r="A318" s="75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s="30" customFormat="1" ht="12.75">
      <c r="A319" s="75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s="30" customFormat="1" ht="12.75">
      <c r="A320" s="75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s="30" customFormat="1" ht="12.75">
      <c r="A321" s="75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s="30" customFormat="1" ht="12.75">
      <c r="A322" s="75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s="30" customFormat="1" ht="12.75">
      <c r="A323" s="75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s="30" customFormat="1" ht="12.75">
      <c r="A324" s="75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s="30" customFormat="1" ht="12.75">
      <c r="A325" s="75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s="30" customFormat="1" ht="12.75">
      <c r="A326" s="75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s="30" customFormat="1" ht="12.75">
      <c r="A327" s="75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s="30" customFormat="1" ht="12.75">
      <c r="A328" s="75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s="30" customFormat="1" ht="12.75">
      <c r="A329" s="75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s="30" customFormat="1" ht="12.75">
      <c r="A330" s="75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s="30" customFormat="1" ht="12.75">
      <c r="A331" s="75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s="30" customFormat="1" ht="12.75">
      <c r="A332" s="75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s="30" customFormat="1" ht="12.75">
      <c r="A333" s="75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s="30" customFormat="1" ht="12.75">
      <c r="A334" s="75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s="30" customFormat="1" ht="12.75">
      <c r="A335" s="75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s="30" customFormat="1" ht="12.75">
      <c r="A336" s="75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s="30" customFormat="1" ht="12.75">
      <c r="A337" s="75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s="30" customFormat="1" ht="12.75">
      <c r="A338" s="75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s="30" customFormat="1" ht="12.75">
      <c r="A339" s="75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s="30" customFormat="1" ht="12.75">
      <c r="A340" s="75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s="30" customFormat="1" ht="12.75">
      <c r="A341" s="75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s="30" customFormat="1" ht="12.75">
      <c r="A342" s="75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s="30" customFormat="1" ht="12.75">
      <c r="A343" s="75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s="30" customFormat="1" ht="12.75">
      <c r="A344" s="75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s="30" customFormat="1" ht="12.75">
      <c r="A345" s="75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s="30" customFormat="1" ht="12.75">
      <c r="A346" s="75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s="30" customFormat="1" ht="12.75">
      <c r="A347" s="75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s="30" customFormat="1" ht="12.75">
      <c r="A348" s="75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s="30" customFormat="1" ht="12.75">
      <c r="A349" s="75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s="30" customFormat="1" ht="12.75">
      <c r="A350" s="75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s="30" customFormat="1" ht="12.75">
      <c r="A351" s="75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s="30" customFormat="1" ht="12.75">
      <c r="A352" s="75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s="30" customFormat="1" ht="12.75">
      <c r="A353" s="75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s="30" customFormat="1" ht="12.75">
      <c r="A354" s="75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s="30" customFormat="1" ht="12.75">
      <c r="A355" s="75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s="30" customFormat="1" ht="12.75">
      <c r="A356" s="75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s="30" customFormat="1" ht="12.75">
      <c r="A357" s="75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s="30" customFormat="1" ht="12.75">
      <c r="A358" s="75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s="30" customFormat="1" ht="12.75">
      <c r="A359" s="75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s="30" customFormat="1" ht="12.75">
      <c r="A360" s="75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s="30" customFormat="1" ht="12.75">
      <c r="A361" s="75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s="30" customFormat="1" ht="12.75">
      <c r="A362" s="75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s="30" customFormat="1" ht="12.75">
      <c r="A363" s="75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s="30" customFormat="1" ht="12.75">
      <c r="A364" s="75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s="30" customFormat="1" ht="12.75">
      <c r="A365" s="75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s="30" customFormat="1" ht="12.75">
      <c r="A366" s="75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s="30" customFormat="1" ht="12.75">
      <c r="A367" s="75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s="30" customFormat="1" ht="12.75">
      <c r="A368" s="75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s="30" customFormat="1" ht="12.75">
      <c r="A369" s="75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s="30" customFormat="1" ht="12.75">
      <c r="A370" s="75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s="30" customFormat="1" ht="12.75">
      <c r="A371" s="75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s="30" customFormat="1" ht="12.75">
      <c r="A372" s="75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s="30" customFormat="1" ht="12.75">
      <c r="A373" s="75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s="30" customFormat="1" ht="12.75">
      <c r="A374" s="75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s="30" customFormat="1" ht="12.75">
      <c r="A375" s="75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s="30" customFormat="1" ht="12.75">
      <c r="A376" s="75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s="30" customFormat="1" ht="12.75">
      <c r="A377" s="75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s="30" customFormat="1" ht="12.75">
      <c r="A378" s="75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s="30" customFormat="1" ht="12.75">
      <c r="A379" s="75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s="30" customFormat="1" ht="12.75">
      <c r="A380" s="75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s="30" customFormat="1" ht="12.75">
      <c r="A381" s="75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s="30" customFormat="1" ht="12.75">
      <c r="A382" s="75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s="30" customFormat="1" ht="12.75">
      <c r="A383" s="75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s="30" customFormat="1" ht="12.75">
      <c r="A384" s="75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s="30" customFormat="1" ht="12.75">
      <c r="A385" s="75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s="30" customFormat="1" ht="12.75">
      <c r="A386" s="75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s="30" customFormat="1" ht="12.75">
      <c r="A387" s="75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s="30" customFormat="1" ht="12.75">
      <c r="A388" s="75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s="30" customFormat="1" ht="12.75">
      <c r="A389" s="75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s="30" customFormat="1" ht="12.75">
      <c r="A390" s="75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s="30" customFormat="1" ht="12.75">
      <c r="A391" s="75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s="30" customFormat="1" ht="12.75">
      <c r="A392" s="75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s="30" customFormat="1" ht="12.75">
      <c r="A393" s="75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s="30" customFormat="1" ht="12.75">
      <c r="A394" s="75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s="30" customFormat="1" ht="12.75">
      <c r="A395" s="7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s="30" customFormat="1" ht="12.75">
      <c r="A396" s="75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s="30" customFormat="1" ht="12.75">
      <c r="A397" s="75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s="30" customFormat="1" ht="12.75">
      <c r="A398" s="75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s="30" customFormat="1" ht="12.75">
      <c r="A399" s="75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s="30" customFormat="1" ht="12.75">
      <c r="A400" s="75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s="30" customFormat="1" ht="12.75">
      <c r="A401" s="75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s="30" customFormat="1" ht="12.75">
      <c r="A402" s="75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s="30" customFormat="1" ht="12.75">
      <c r="A403" s="75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s="30" customFormat="1" ht="12.75">
      <c r="A404" s="75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s="30" customFormat="1" ht="12.75">
      <c r="A405" s="75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s="30" customFormat="1" ht="12.75">
      <c r="A406" s="75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s="30" customFormat="1" ht="12.75">
      <c r="A407" s="75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s="30" customFormat="1" ht="12.75">
      <c r="A408" s="75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s="30" customFormat="1" ht="12.75">
      <c r="A409" s="75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s="30" customFormat="1" ht="12.75">
      <c r="A410" s="75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s="30" customFormat="1" ht="12.75">
      <c r="A411" s="75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s="30" customFormat="1" ht="12.75">
      <c r="A412" s="75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s="30" customFormat="1" ht="12.75">
      <c r="A413" s="75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s="30" customFormat="1" ht="12.75">
      <c r="A414" s="75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s="30" customFormat="1" ht="12.75">
      <c r="A415" s="7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s="30" customFormat="1" ht="12.75">
      <c r="A416" s="75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s="30" customFormat="1" ht="12.75">
      <c r="A417" s="75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s="30" customFormat="1" ht="12.75">
      <c r="A418" s="75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s="30" customFormat="1" ht="12.75">
      <c r="A419" s="75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s="30" customFormat="1" ht="12.75">
      <c r="A420" s="75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s="30" customFormat="1" ht="12.75">
      <c r="A421" s="75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s="30" customFormat="1" ht="12.75">
      <c r="A422" s="75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s="30" customFormat="1" ht="12.75">
      <c r="A423" s="75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s="30" customFormat="1" ht="12.75">
      <c r="A424" s="75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s="30" customFormat="1" ht="12.75">
      <c r="A425" s="75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s="30" customFormat="1" ht="12.75">
      <c r="A426" s="75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s="30" customFormat="1" ht="12.75">
      <c r="A427" s="75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s="30" customFormat="1" ht="12.75">
      <c r="A428" s="75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s="30" customFormat="1" ht="12.75">
      <c r="A429" s="75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s="30" customFormat="1" ht="12.75">
      <c r="A430" s="75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s="30" customFormat="1" ht="12.75">
      <c r="A431" s="75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s="30" customFormat="1" ht="12.75">
      <c r="A432" s="75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s="30" customFormat="1" ht="12.75">
      <c r="A433" s="75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s="30" customFormat="1" ht="12.75">
      <c r="A434" s="75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s="30" customFormat="1" ht="12.75">
      <c r="A435" s="75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s="30" customFormat="1" ht="12.75">
      <c r="A436" s="75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s="30" customFormat="1" ht="12.75">
      <c r="A437" s="75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s="30" customFormat="1" ht="12.75">
      <c r="A438" s="75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s="30" customFormat="1" ht="12.75">
      <c r="A439" s="75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s="30" customFormat="1" ht="12.75">
      <c r="A440" s="75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s="30" customFormat="1" ht="12.75">
      <c r="A441" s="75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s="30" customFormat="1" ht="12.75">
      <c r="A442" s="75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s="30" customFormat="1" ht="12.75">
      <c r="A443" s="75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s="30" customFormat="1" ht="12.75">
      <c r="A444" s="75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s="30" customFormat="1" ht="12.75">
      <c r="A445" s="75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s="30" customFormat="1" ht="12.75">
      <c r="A446" s="75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s="30" customFormat="1" ht="12.75">
      <c r="A447" s="75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s="30" customFormat="1" ht="12.75">
      <c r="A448" s="75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s="30" customFormat="1" ht="12.75">
      <c r="A449" s="75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s="30" customFormat="1" ht="12.75">
      <c r="A450" s="75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s="30" customFormat="1" ht="12.75">
      <c r="A451" s="75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s="30" customFormat="1" ht="12.75">
      <c r="A452" s="75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s="30" customFormat="1" ht="12.75">
      <c r="A453" s="75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s="30" customFormat="1" ht="12.75">
      <c r="A454" s="75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s="30" customFormat="1" ht="12.75">
      <c r="A455" s="75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s="30" customFormat="1" ht="12.75">
      <c r="A456" s="75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s="30" customFormat="1" ht="12.75">
      <c r="A457" s="75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s="30" customFormat="1" ht="12.75">
      <c r="A458" s="75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s="30" customFormat="1" ht="12.75">
      <c r="A459" s="75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s="30" customFormat="1" ht="12.75">
      <c r="A460" s="75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s="30" customFormat="1" ht="12.75">
      <c r="A461" s="75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s="30" customFormat="1" ht="12.75">
      <c r="A462" s="75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s="30" customFormat="1" ht="12.75">
      <c r="A463" s="75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s="30" customFormat="1" ht="12.75">
      <c r="A464" s="75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s="30" customFormat="1" ht="12.75">
      <c r="A465" s="7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s="30" customFormat="1" ht="12.75">
      <c r="A466" s="75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s="30" customFormat="1" ht="12.75">
      <c r="A467" s="75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s="30" customFormat="1" ht="12.75">
      <c r="A468" s="75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s="30" customFormat="1" ht="12.75">
      <c r="A469" s="75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s="30" customFormat="1" ht="12.75">
      <c r="A470" s="75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s="30" customFormat="1" ht="12.75">
      <c r="A471" s="75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s="30" customFormat="1" ht="12.75">
      <c r="A472" s="75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s="30" customFormat="1" ht="12.75">
      <c r="A473" s="75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s="30" customFormat="1" ht="12.75">
      <c r="A474" s="75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s="30" customFormat="1" ht="12.75">
      <c r="A475" s="75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s="30" customFormat="1" ht="12.75">
      <c r="A476" s="75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s="30" customFormat="1" ht="12.75">
      <c r="A477" s="75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s="30" customFormat="1" ht="12.75">
      <c r="A478" s="75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s="30" customFormat="1" ht="12.75">
      <c r="A479" s="75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s="30" customFormat="1" ht="12.75">
      <c r="A480" s="75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s="30" customFormat="1" ht="12.75">
      <c r="A481" s="75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s="30" customFormat="1" ht="12.75">
      <c r="A482" s="75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s="30" customFormat="1" ht="12.75">
      <c r="A483" s="75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s="30" customFormat="1" ht="12.75">
      <c r="A484" s="75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s="30" customFormat="1" ht="12.75">
      <c r="A485" s="75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s="30" customFormat="1" ht="12.75">
      <c r="A486" s="75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s="30" customFormat="1" ht="12.75">
      <c r="A487" s="75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s="30" customFormat="1" ht="12.75">
      <c r="A488" s="75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s="30" customFormat="1" ht="12.75">
      <c r="A489" s="75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s="30" customFormat="1" ht="12.75">
      <c r="A490" s="75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s="30" customFormat="1" ht="12.75">
      <c r="A491" s="75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s="30" customFormat="1" ht="12.75">
      <c r="A492" s="75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s="30" customFormat="1" ht="12.75">
      <c r="A493" s="75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s="30" customFormat="1" ht="12.75">
      <c r="A494" s="75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s="30" customFormat="1" ht="12.75">
      <c r="A495" s="75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s="30" customFormat="1" ht="12.75">
      <c r="A496" s="75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s="30" customFormat="1" ht="12.75">
      <c r="A497" s="75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s="30" customFormat="1" ht="12.75">
      <c r="A498" s="75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s="30" customFormat="1" ht="12.75">
      <c r="A499" s="75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s="30" customFormat="1" ht="12.75">
      <c r="A500" s="75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s="30" customFormat="1" ht="12.75">
      <c r="A501" s="75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s="30" customFormat="1" ht="12.75">
      <c r="A502" s="75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s="30" customFormat="1" ht="12.75">
      <c r="A503" s="75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s="30" customFormat="1" ht="12.75">
      <c r="A504" s="75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s="30" customFormat="1" ht="12.75">
      <c r="A505" s="75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s="30" customFormat="1" ht="12.75">
      <c r="A506" s="75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s="30" customFormat="1" ht="12.75">
      <c r="A507" s="75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s="30" customFormat="1" ht="12.75">
      <c r="A508" s="75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s="30" customFormat="1" ht="12.75">
      <c r="A509" s="75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s="30" customFormat="1" ht="12.75">
      <c r="A510" s="75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s="30" customFormat="1" ht="12.75">
      <c r="A511" s="75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s="30" customFormat="1" ht="12.75">
      <c r="A512" s="75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s="30" customFormat="1" ht="12.75">
      <c r="A513" s="75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s="30" customFormat="1" ht="12.75">
      <c r="A514" s="75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s="30" customFormat="1" ht="12.75">
      <c r="A515" s="75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s="30" customFormat="1" ht="12.75">
      <c r="A516" s="75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s="30" customFormat="1" ht="12.75">
      <c r="A517" s="75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s="30" customFormat="1" ht="12.75">
      <c r="A518" s="75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s="30" customFormat="1" ht="12.75">
      <c r="A519" s="75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s="30" customFormat="1" ht="12.75">
      <c r="A520" s="75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s="30" customFormat="1" ht="12.75">
      <c r="A521" s="75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s="30" customFormat="1" ht="12.75">
      <c r="A522" s="75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s="30" customFormat="1" ht="12.75">
      <c r="A523" s="75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s="30" customFormat="1" ht="12.75">
      <c r="A524" s="75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s="30" customFormat="1" ht="12.75">
      <c r="A525" s="75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s="30" customFormat="1" ht="12.75">
      <c r="A526" s="75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s="30" customFormat="1" ht="12.75">
      <c r="A527" s="75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s="30" customFormat="1" ht="12.75">
      <c r="A528" s="75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s="30" customFormat="1" ht="12.75">
      <c r="A529" s="75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s="30" customFormat="1" ht="12.75">
      <c r="A530" s="75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s="30" customFormat="1" ht="12.75">
      <c r="A531" s="75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s="30" customFormat="1" ht="12.75">
      <c r="A532" s="75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s="30" customFormat="1" ht="12.75">
      <c r="A533" s="75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s="30" customFormat="1" ht="12.75">
      <c r="A534" s="75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s="30" customFormat="1" ht="12.75">
      <c r="A535" s="75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s="30" customFormat="1" ht="12.75">
      <c r="A536" s="75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s="30" customFormat="1" ht="12.75">
      <c r="A537" s="75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s="30" customFormat="1" ht="12.75">
      <c r="A538" s="75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s="30" customFormat="1" ht="12.75">
      <c r="A539" s="75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s="30" customFormat="1" ht="12.75">
      <c r="A540" s="75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s="30" customFormat="1" ht="12.75">
      <c r="A541" s="75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s="30" customFormat="1" ht="12.75">
      <c r="A542" s="75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s="30" customFormat="1" ht="12.75">
      <c r="A543" s="75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s="30" customFormat="1" ht="12.75">
      <c r="A544" s="75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s="30" customFormat="1" ht="12.75">
      <c r="A545" s="75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s="30" customFormat="1" ht="12.75">
      <c r="A546" s="75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s="30" customFormat="1" ht="12.75">
      <c r="A547" s="75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s="30" customFormat="1" ht="12.75">
      <c r="A548" s="75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s="30" customFormat="1" ht="12.75">
      <c r="A549" s="75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s="30" customFormat="1" ht="12.75">
      <c r="A550" s="75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s="30" customFormat="1" ht="12.75">
      <c r="A551" s="75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s="30" customFormat="1" ht="12.75">
      <c r="A552" s="75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s="30" customFormat="1" ht="12.75">
      <c r="A553" s="75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s="30" customFormat="1" ht="12.75">
      <c r="A554" s="75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s="30" customFormat="1" ht="12.75">
      <c r="A555" s="75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s="30" customFormat="1" ht="12.75">
      <c r="A556" s="75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s="30" customFormat="1" ht="12.75">
      <c r="A557" s="75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s="30" customFormat="1" ht="12.75">
      <c r="A558" s="75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s="30" customFormat="1" ht="12.75">
      <c r="A559" s="75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s="30" customFormat="1" ht="12.75">
      <c r="A560" s="75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s="30" customFormat="1" ht="12.75">
      <c r="A561" s="75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s="30" customFormat="1" ht="12.75">
      <c r="A562" s="75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s="30" customFormat="1" ht="12.75">
      <c r="A563" s="75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s="30" customFormat="1" ht="12.75">
      <c r="A564" s="75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s="30" customFormat="1" ht="12.75">
      <c r="A565" s="75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s="30" customFormat="1" ht="12.75">
      <c r="A566" s="75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s="30" customFormat="1" ht="12.75">
      <c r="A567" s="75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s="30" customFormat="1" ht="12.75">
      <c r="A568" s="75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s="30" customFormat="1" ht="12.75">
      <c r="A569" s="75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s="30" customFormat="1" ht="12.75">
      <c r="A570" s="75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s="30" customFormat="1" ht="12.75">
      <c r="A571" s="75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s="30" customFormat="1" ht="12.75">
      <c r="A572" s="75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s="30" customFormat="1" ht="12.75">
      <c r="A573" s="75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s="30" customFormat="1" ht="12.75">
      <c r="A574" s="75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s="30" customFormat="1" ht="12.75">
      <c r="A575" s="75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s="30" customFormat="1" ht="12.75">
      <c r="A576" s="75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s="30" customFormat="1" ht="12.75">
      <c r="A577" s="75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s="30" customFormat="1" ht="12.75">
      <c r="A578" s="75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s="30" customFormat="1" ht="12.75">
      <c r="A579" s="75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s="30" customFormat="1" ht="12.75">
      <c r="A580" s="75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s="30" customFormat="1" ht="12.75">
      <c r="A581" s="75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s="30" customFormat="1" ht="12.75">
      <c r="A582" s="75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s="30" customFormat="1" ht="12.75">
      <c r="A583" s="75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s="30" customFormat="1" ht="12.75">
      <c r="A584" s="75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s="30" customFormat="1" ht="12.75">
      <c r="A585" s="75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s="30" customFormat="1" ht="12.75">
      <c r="A586" s="75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s="30" customFormat="1" ht="12.75">
      <c r="A587" s="75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s="30" customFormat="1" ht="12.75">
      <c r="A588" s="75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s="30" customFormat="1" ht="12.75">
      <c r="A589" s="75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s="30" customFormat="1" ht="12.75">
      <c r="A590" s="75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s="30" customFormat="1" ht="12.75">
      <c r="A591" s="75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s="30" customFormat="1" ht="12.75">
      <c r="A592" s="75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s="30" customFormat="1" ht="12.75">
      <c r="A593" s="75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s="30" customFormat="1" ht="12.75">
      <c r="A594" s="75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s="30" customFormat="1" ht="12.75">
      <c r="A595" s="75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s="30" customFormat="1" ht="12.75">
      <c r="A596" s="75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s="30" customFormat="1" ht="12.75">
      <c r="A597" s="75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s="30" customFormat="1" ht="12.75">
      <c r="A598" s="75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s="30" customFormat="1" ht="12.75">
      <c r="A599" s="75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s="30" customFormat="1" ht="12.75">
      <c r="A600" s="75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s="30" customFormat="1" ht="12.75">
      <c r="A601" s="75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s="30" customFormat="1" ht="12.75">
      <c r="A602" s="75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s="30" customFormat="1" ht="12.75">
      <c r="A603" s="75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s="30" customFormat="1" ht="12.75">
      <c r="A604" s="75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s="30" customFormat="1" ht="12.75">
      <c r="A605" s="75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s="30" customFormat="1" ht="12.75">
      <c r="A606" s="75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s="30" customFormat="1" ht="12.75">
      <c r="A607" s="75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s="30" customFormat="1" ht="12.75">
      <c r="A608" s="75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s="30" customFormat="1" ht="12.75">
      <c r="A609" s="75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s="30" customFormat="1" ht="12.75">
      <c r="A610" s="75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s="30" customFormat="1" ht="12.75">
      <c r="A611" s="75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s="30" customFormat="1" ht="12.75">
      <c r="A612" s="75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s="30" customFormat="1" ht="12.75">
      <c r="A613" s="75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s="30" customFormat="1" ht="12.75">
      <c r="A614" s="75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s="30" customFormat="1" ht="12.75">
      <c r="A615" s="75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s="30" customFormat="1" ht="12.75">
      <c r="A616" s="75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s="30" customFormat="1" ht="12.75">
      <c r="A617" s="75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s="30" customFormat="1" ht="12.75">
      <c r="A618" s="75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s="30" customFormat="1" ht="12.75">
      <c r="A619" s="75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s="30" customFormat="1" ht="12.75">
      <c r="A620" s="75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s="30" customFormat="1" ht="12.75">
      <c r="A621" s="75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s="30" customFormat="1" ht="12.75">
      <c r="A622" s="75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s="30" customFormat="1" ht="12.75">
      <c r="A623" s="75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s="30" customFormat="1" ht="12.75">
      <c r="A624" s="75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s="30" customFormat="1" ht="12.75">
      <c r="A625" s="75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s="30" customFormat="1" ht="12.75">
      <c r="A626" s="75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s="30" customFormat="1" ht="12.75">
      <c r="A627" s="75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s="30" customFormat="1" ht="12.75">
      <c r="A628" s="75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s="30" customFormat="1" ht="12.75">
      <c r="A629" s="75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s="30" customFormat="1" ht="12.75">
      <c r="A630" s="75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s="30" customFormat="1" ht="12.75">
      <c r="A631" s="75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s="30" customFormat="1" ht="12.75">
      <c r="A632" s="75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s="30" customFormat="1" ht="12.75">
      <c r="A633" s="75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s="30" customFormat="1" ht="12.75">
      <c r="A634" s="75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s="30" customFormat="1" ht="12.75">
      <c r="A635" s="75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s="30" customFormat="1" ht="12.75">
      <c r="A636" s="75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s="30" customFormat="1" ht="12.75">
      <c r="A637" s="75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s="30" customFormat="1" ht="12.75">
      <c r="A638" s="75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s="30" customFormat="1" ht="12.75">
      <c r="A639" s="75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s="30" customFormat="1" ht="12.75">
      <c r="A640" s="75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s="30" customFormat="1" ht="12.75">
      <c r="A641" s="75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s="30" customFormat="1" ht="12.75">
      <c r="A642" s="75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s="30" customFormat="1" ht="12.75">
      <c r="A643" s="75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s="30" customFormat="1" ht="12.75">
      <c r="A644" s="75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s="30" customFormat="1" ht="12.75">
      <c r="A645" s="75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s="30" customFormat="1" ht="12.75">
      <c r="A646" s="75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s="30" customFormat="1" ht="12.75">
      <c r="A647" s="75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s="30" customFormat="1" ht="12.75">
      <c r="A648" s="75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s="30" customFormat="1" ht="12.75">
      <c r="A649" s="75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s="30" customFormat="1" ht="12.75">
      <c r="A650" s="75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s="30" customFormat="1" ht="12.75">
      <c r="A651" s="75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s="30" customFormat="1" ht="12.75">
      <c r="A652" s="75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s="30" customFormat="1" ht="12.75">
      <c r="A653" s="75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</sheetData>
  <sheetProtection/>
  <mergeCells count="25">
    <mergeCell ref="M2:N2"/>
    <mergeCell ref="A2:B3"/>
    <mergeCell ref="K2:L2"/>
    <mergeCell ref="I129:J129"/>
    <mergeCell ref="E2:F2"/>
    <mergeCell ref="A147:B148"/>
    <mergeCell ref="E147:F147"/>
    <mergeCell ref="I147:J147"/>
    <mergeCell ref="A129:B130"/>
    <mergeCell ref="E129:F129"/>
    <mergeCell ref="O129:P129"/>
    <mergeCell ref="O147:P147"/>
    <mergeCell ref="K147:L147"/>
    <mergeCell ref="M147:N147"/>
    <mergeCell ref="K129:L129"/>
    <mergeCell ref="M129:N129"/>
    <mergeCell ref="Q2:R2"/>
    <mergeCell ref="Q129:R129"/>
    <mergeCell ref="Q147:R147"/>
    <mergeCell ref="U2:V2"/>
    <mergeCell ref="U129:V129"/>
    <mergeCell ref="U147:V147"/>
    <mergeCell ref="S2:T2"/>
    <mergeCell ref="S129:T129"/>
    <mergeCell ref="S147:T147"/>
  </mergeCells>
  <printOptions horizontalCentered="1"/>
  <pageMargins left="0" right="0.7874015748031497" top="1.1811023622047245" bottom="0.984251968503937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Y85"/>
  <sheetViews>
    <sheetView showGridLines="0" zoomScalePageLayoutView="0" workbookViewId="0" topLeftCell="A1">
      <pane xSplit="2" ySplit="3" topLeftCell="E7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47" sqref="Q47"/>
    </sheetView>
  </sheetViews>
  <sheetFormatPr defaultColWidth="9.140625" defaultRowHeight="12.75"/>
  <cols>
    <col min="1" max="1" width="7.7109375" style="16" customWidth="1"/>
    <col min="2" max="2" width="70.7109375" style="6" customWidth="1"/>
    <col min="3" max="4" width="10.7109375" style="6" hidden="1" customWidth="1"/>
    <col min="5" max="6" width="10.7109375" style="4" customWidth="1"/>
    <col min="7" max="13" width="10.7109375" style="4" hidden="1" customWidth="1"/>
    <col min="14" max="14" width="10.7109375" style="6" hidden="1" customWidth="1"/>
    <col min="15" max="16" width="10.7109375" style="4" hidden="1" customWidth="1"/>
    <col min="17" max="22" width="10.7109375" style="4" customWidth="1"/>
    <col min="23" max="16384" width="9.140625" style="6" customWidth="1"/>
  </cols>
  <sheetData>
    <row r="1" spans="1:25" s="1" customFormat="1" ht="19.5" customHeight="1" hidden="1" thickBot="1">
      <c r="A1" s="237" t="s">
        <v>1122</v>
      </c>
      <c r="E1" s="1533"/>
      <c r="F1" s="153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2" s="23" customFormat="1" ht="39.75" customHeight="1">
      <c r="A2" s="2842"/>
      <c r="B2" s="2843"/>
      <c r="C2" s="798" t="s">
        <v>506</v>
      </c>
      <c r="D2" s="1519" t="s">
        <v>507</v>
      </c>
      <c r="E2" s="2890" t="s">
        <v>184</v>
      </c>
      <c r="F2" s="2891"/>
      <c r="G2" s="1000" t="s">
        <v>845</v>
      </c>
      <c r="H2" s="1676" t="s">
        <v>510</v>
      </c>
      <c r="I2" s="1002" t="s">
        <v>87</v>
      </c>
      <c r="J2" s="1002" t="s">
        <v>87</v>
      </c>
      <c r="K2" s="2870" t="s">
        <v>509</v>
      </c>
      <c r="L2" s="2870"/>
      <c r="M2" s="2870" t="s">
        <v>508</v>
      </c>
      <c r="N2" s="2870"/>
      <c r="O2" s="1003" t="s">
        <v>952</v>
      </c>
      <c r="P2" s="1546" t="s">
        <v>952</v>
      </c>
      <c r="Q2" s="2874" t="s">
        <v>183</v>
      </c>
      <c r="R2" s="2875"/>
      <c r="S2" s="2875" t="s">
        <v>725</v>
      </c>
      <c r="T2" s="2875"/>
      <c r="U2" s="2875" t="s">
        <v>726</v>
      </c>
      <c r="V2" s="2878"/>
    </row>
    <row r="3" spans="1:22" s="24" customFormat="1" ht="15" customHeight="1" thickBot="1">
      <c r="A3" s="2844"/>
      <c r="B3" s="2845"/>
      <c r="C3" s="777" t="s">
        <v>966</v>
      </c>
      <c r="D3" s="453" t="s">
        <v>966</v>
      </c>
      <c r="E3" s="768" t="s">
        <v>435</v>
      </c>
      <c r="F3" s="307" t="s">
        <v>966</v>
      </c>
      <c r="G3" s="571" t="s">
        <v>435</v>
      </c>
      <c r="H3" s="238" t="s">
        <v>966</v>
      </c>
      <c r="I3" s="1005" t="s">
        <v>435</v>
      </c>
      <c r="J3" s="1005" t="s">
        <v>966</v>
      </c>
      <c r="K3" s="241" t="s">
        <v>435</v>
      </c>
      <c r="L3" s="241" t="s">
        <v>966</v>
      </c>
      <c r="M3" s="241" t="s">
        <v>435</v>
      </c>
      <c r="N3" s="241" t="s">
        <v>966</v>
      </c>
      <c r="O3" s="1006" t="s">
        <v>435</v>
      </c>
      <c r="P3" s="1547" t="s">
        <v>966</v>
      </c>
      <c r="Q3" s="240" t="s">
        <v>435</v>
      </c>
      <c r="R3" s="241" t="s">
        <v>966</v>
      </c>
      <c r="S3" s="241" t="s">
        <v>435</v>
      </c>
      <c r="T3" s="241" t="s">
        <v>966</v>
      </c>
      <c r="U3" s="241" t="s">
        <v>435</v>
      </c>
      <c r="V3" s="796" t="s">
        <v>966</v>
      </c>
    </row>
    <row r="4" spans="1:22" s="30" customFormat="1" ht="19.5" customHeight="1">
      <c r="A4" s="110" t="s">
        <v>348</v>
      </c>
      <c r="B4" s="785" t="s">
        <v>1131</v>
      </c>
      <c r="C4" s="799">
        <f aca="true" t="shared" si="0" ref="C4:V4">C5+C20+C46+C57</f>
        <v>30924</v>
      </c>
      <c r="D4" s="1520">
        <f t="shared" si="0"/>
        <v>43355</v>
      </c>
      <c r="E4" s="850">
        <f t="shared" si="0"/>
        <v>1839601</v>
      </c>
      <c r="F4" s="665">
        <f t="shared" si="0"/>
        <v>55419.81972600001</v>
      </c>
      <c r="G4" s="530">
        <f t="shared" si="0"/>
        <v>1773425</v>
      </c>
      <c r="H4" s="242">
        <f t="shared" si="0"/>
        <v>54425.89349</v>
      </c>
      <c r="I4" s="243">
        <f t="shared" si="0"/>
        <v>1557279</v>
      </c>
      <c r="J4" s="243">
        <f t="shared" si="0"/>
        <v>46914.563338</v>
      </c>
      <c r="K4" s="243">
        <f t="shared" si="0"/>
        <v>0</v>
      </c>
      <c r="L4" s="243">
        <f t="shared" si="0"/>
        <v>0</v>
      </c>
      <c r="M4" s="243">
        <f t="shared" si="0"/>
        <v>0</v>
      </c>
      <c r="N4" s="243">
        <f t="shared" si="0"/>
        <v>0</v>
      </c>
      <c r="O4" s="243">
        <f t="shared" si="0"/>
        <v>1499367</v>
      </c>
      <c r="P4" s="1548">
        <f t="shared" si="0"/>
        <v>45169.906426</v>
      </c>
      <c r="Q4" s="242">
        <f t="shared" si="0"/>
        <v>1886271</v>
      </c>
      <c r="R4" s="243">
        <f t="shared" si="0"/>
        <v>56825.77633</v>
      </c>
      <c r="S4" s="243">
        <f t="shared" si="0"/>
        <v>1856271</v>
      </c>
      <c r="T4" s="243">
        <f t="shared" si="0"/>
        <v>55922.02014600001</v>
      </c>
      <c r="U4" s="243">
        <f t="shared" si="0"/>
        <v>1856271</v>
      </c>
      <c r="V4" s="285">
        <f t="shared" si="0"/>
        <v>55922.02014600001</v>
      </c>
    </row>
    <row r="5" spans="1:22" s="30" customFormat="1" ht="19.5" customHeight="1">
      <c r="A5" s="111" t="s">
        <v>739</v>
      </c>
      <c r="B5" s="786" t="s">
        <v>1156</v>
      </c>
      <c r="C5" s="800">
        <f aca="true" t="shared" si="1" ref="C5:N5">C6+C16</f>
        <v>29447</v>
      </c>
      <c r="D5" s="1521">
        <f t="shared" si="1"/>
        <v>33472</v>
      </c>
      <c r="E5" s="769">
        <f t="shared" si="1"/>
        <v>1055400</v>
      </c>
      <c r="F5" s="479">
        <f t="shared" si="1"/>
        <v>31794.980400000008</v>
      </c>
      <c r="G5" s="463">
        <f t="shared" si="1"/>
        <v>1175073</v>
      </c>
      <c r="H5" s="508">
        <f t="shared" si="1"/>
        <v>36400.293938</v>
      </c>
      <c r="I5" s="244">
        <f t="shared" si="1"/>
        <v>995441</v>
      </c>
      <c r="J5" s="244">
        <f t="shared" si="1"/>
        <v>29988.63175</v>
      </c>
      <c r="K5" s="244">
        <f t="shared" si="1"/>
        <v>0</v>
      </c>
      <c r="L5" s="244">
        <f t="shared" si="1"/>
        <v>0</v>
      </c>
      <c r="M5" s="244">
        <f t="shared" si="1"/>
        <v>0</v>
      </c>
      <c r="N5" s="244">
        <f t="shared" si="1"/>
        <v>0</v>
      </c>
      <c r="O5" s="244">
        <f aca="true" t="shared" si="2" ref="O5:V5">O6+O16</f>
        <v>937529</v>
      </c>
      <c r="P5" s="1549">
        <f t="shared" si="2"/>
        <v>28243.974838000002</v>
      </c>
      <c r="Q5" s="875">
        <f t="shared" si="2"/>
        <v>978233</v>
      </c>
      <c r="R5" s="244">
        <f t="shared" si="2"/>
        <v>29470.223542</v>
      </c>
      <c r="S5" s="244">
        <f t="shared" si="2"/>
        <v>978233</v>
      </c>
      <c r="T5" s="244">
        <f t="shared" si="2"/>
        <v>29470.247358</v>
      </c>
      <c r="U5" s="244">
        <f t="shared" si="2"/>
        <v>978233</v>
      </c>
      <c r="V5" s="254">
        <f t="shared" si="2"/>
        <v>29470.247358</v>
      </c>
    </row>
    <row r="6" spans="1:22" s="24" customFormat="1" ht="19.5" customHeight="1">
      <c r="A6" s="112" t="s">
        <v>437</v>
      </c>
      <c r="B6" s="787" t="s">
        <v>965</v>
      </c>
      <c r="C6" s="801">
        <f aca="true" t="shared" si="3" ref="C6:N6">C7+C14+C15</f>
        <v>28921</v>
      </c>
      <c r="D6" s="1522">
        <f t="shared" si="3"/>
        <v>31980</v>
      </c>
      <c r="E6" s="770">
        <f t="shared" si="3"/>
        <v>1005609</v>
      </c>
      <c r="F6" s="480">
        <f t="shared" si="3"/>
        <v>30294.976734000007</v>
      </c>
      <c r="G6" s="464">
        <f t="shared" si="3"/>
        <v>1141873</v>
      </c>
      <c r="H6" s="245">
        <f t="shared" si="3"/>
        <v>35400.110738</v>
      </c>
      <c r="I6" s="246">
        <f t="shared" si="3"/>
        <v>957925</v>
      </c>
      <c r="J6" s="246">
        <f t="shared" si="3"/>
        <v>28858.44855</v>
      </c>
      <c r="K6" s="246">
        <f t="shared" si="3"/>
        <v>0</v>
      </c>
      <c r="L6" s="246">
        <f t="shared" si="3"/>
        <v>0</v>
      </c>
      <c r="M6" s="246">
        <f t="shared" si="3"/>
        <v>0</v>
      </c>
      <c r="N6" s="246">
        <f t="shared" si="3"/>
        <v>0</v>
      </c>
      <c r="O6" s="246">
        <f>O7+O14+O15</f>
        <v>900013</v>
      </c>
      <c r="P6" s="1550">
        <f>P7+P14+P15</f>
        <v>27113.791638000002</v>
      </c>
      <c r="Q6" s="245">
        <f>Q7+Q14+Q15</f>
        <v>940717</v>
      </c>
      <c r="R6" s="246">
        <f>R7+R14+R15</f>
        <v>28340.040342</v>
      </c>
      <c r="S6" s="246">
        <v>940717</v>
      </c>
      <c r="T6" s="246">
        <f>S6*30.126/1000</f>
        <v>28340.040342</v>
      </c>
      <c r="U6" s="246">
        <v>940717</v>
      </c>
      <c r="V6" s="255">
        <f>U6*30.126/1000</f>
        <v>28340.040342</v>
      </c>
    </row>
    <row r="7" spans="1:22" ht="15" customHeight="1">
      <c r="A7" s="142" t="s">
        <v>438</v>
      </c>
      <c r="B7" s="807" t="s">
        <v>1132</v>
      </c>
      <c r="C7" s="802">
        <f aca="true" t="shared" si="4" ref="C7:N7">SUM(C8:C13)</f>
        <v>28779</v>
      </c>
      <c r="D7" s="1523">
        <f t="shared" si="4"/>
        <v>31808</v>
      </c>
      <c r="E7" s="1007">
        <f t="shared" si="4"/>
        <v>999468</v>
      </c>
      <c r="F7" s="1535">
        <f t="shared" si="4"/>
        <v>30109.972968000005</v>
      </c>
      <c r="G7" s="531">
        <f t="shared" si="4"/>
        <v>1135234</v>
      </c>
      <c r="H7" s="509">
        <f t="shared" si="4"/>
        <v>35200.104224</v>
      </c>
      <c r="I7" s="510">
        <f t="shared" si="4"/>
        <v>951286</v>
      </c>
      <c r="J7" s="510">
        <f t="shared" si="4"/>
        <v>28658.442036</v>
      </c>
      <c r="K7" s="510">
        <f t="shared" si="4"/>
        <v>0</v>
      </c>
      <c r="L7" s="510">
        <f t="shared" si="4"/>
        <v>0</v>
      </c>
      <c r="M7" s="510">
        <f t="shared" si="4"/>
        <v>0</v>
      </c>
      <c r="N7" s="510">
        <f t="shared" si="4"/>
        <v>0</v>
      </c>
      <c r="O7" s="510">
        <f>SUM(O8:O13)</f>
        <v>893374</v>
      </c>
      <c r="P7" s="1551">
        <f>SUM(P8:P13)</f>
        <v>26913.785124</v>
      </c>
      <c r="Q7" s="1562">
        <f>SUM(Q8:Q13)</f>
        <v>934078</v>
      </c>
      <c r="R7" s="510">
        <f>SUM(R8:R13)</f>
        <v>28140.033828</v>
      </c>
      <c r="S7" s="510"/>
      <c r="T7" s="510"/>
      <c r="U7" s="510"/>
      <c r="V7" s="511"/>
    </row>
    <row r="8" spans="1:22" ht="15" customHeight="1">
      <c r="A8" s="172"/>
      <c r="B8" s="789" t="s">
        <v>451</v>
      </c>
      <c r="C8" s="803">
        <v>25098</v>
      </c>
      <c r="D8" s="1524">
        <v>29278</v>
      </c>
      <c r="E8" s="56">
        <v>922525</v>
      </c>
      <c r="F8" s="55">
        <f>(E8*30.126)/1000</f>
        <v>27791.98815</v>
      </c>
      <c r="G8" s="532">
        <v>979220</v>
      </c>
      <c r="H8" s="512">
        <v>29500</v>
      </c>
      <c r="I8" s="289">
        <v>830121</v>
      </c>
      <c r="J8" s="289">
        <f>I8*30.126/1000</f>
        <v>25008.225245999998</v>
      </c>
      <c r="K8" s="289"/>
      <c r="L8" s="289"/>
      <c r="M8" s="289"/>
      <c r="N8" s="249"/>
      <c r="O8" s="289">
        <v>795782</v>
      </c>
      <c r="P8" s="1552">
        <f>O8*30.126/1000</f>
        <v>23973.728532</v>
      </c>
      <c r="Q8" s="90">
        <v>813250</v>
      </c>
      <c r="R8" s="289">
        <f>Q8*30.126/1000</f>
        <v>24499.9695</v>
      </c>
      <c r="S8" s="289"/>
      <c r="T8" s="289"/>
      <c r="U8" s="289"/>
      <c r="V8" s="513"/>
    </row>
    <row r="9" spans="1:22" ht="15" customHeight="1">
      <c r="A9" s="172"/>
      <c r="B9" s="789" t="s">
        <v>452</v>
      </c>
      <c r="C9" s="803"/>
      <c r="D9" s="1524"/>
      <c r="E9" s="56">
        <v>19186</v>
      </c>
      <c r="F9" s="55">
        <f aca="true" t="shared" si="5" ref="F9:F15">(E9*30.126)/1000</f>
        <v>577.997436</v>
      </c>
      <c r="G9" s="532">
        <v>49790</v>
      </c>
      <c r="H9" s="512">
        <v>2500</v>
      </c>
      <c r="I9" s="289">
        <v>26555</v>
      </c>
      <c r="J9" s="289">
        <f aca="true" t="shared" si="6" ref="J9:J15">I9*30.126/1000</f>
        <v>799.99593</v>
      </c>
      <c r="K9" s="289"/>
      <c r="L9" s="289"/>
      <c r="M9" s="289"/>
      <c r="N9" s="249"/>
      <c r="O9" s="289">
        <v>26555</v>
      </c>
      <c r="P9" s="1552">
        <f aca="true" t="shared" si="7" ref="P9:R15">O9*30.126/1000</f>
        <v>799.99593</v>
      </c>
      <c r="Q9" s="90">
        <v>49791</v>
      </c>
      <c r="R9" s="289">
        <f t="shared" si="7"/>
        <v>1500.003666</v>
      </c>
      <c r="S9" s="289"/>
      <c r="T9" s="289"/>
      <c r="U9" s="289"/>
      <c r="V9" s="513"/>
    </row>
    <row r="10" spans="1:22" ht="15" customHeight="1">
      <c r="A10" s="172"/>
      <c r="B10" s="789" t="s">
        <v>453</v>
      </c>
      <c r="C10" s="803">
        <v>850</v>
      </c>
      <c r="D10" s="1524">
        <v>300</v>
      </c>
      <c r="E10" s="56">
        <v>6639</v>
      </c>
      <c r="F10" s="55">
        <f t="shared" si="5"/>
        <v>200.00651399999998</v>
      </c>
      <c r="G10" s="532">
        <v>16600</v>
      </c>
      <c r="H10" s="512">
        <f aca="true" t="shared" si="8" ref="H10:H19">G10*30.126/1000</f>
        <v>500.0916</v>
      </c>
      <c r="I10" s="289">
        <v>16600</v>
      </c>
      <c r="J10" s="289">
        <f t="shared" si="6"/>
        <v>500.0916</v>
      </c>
      <c r="K10" s="289"/>
      <c r="L10" s="289"/>
      <c r="M10" s="289"/>
      <c r="N10" s="249"/>
      <c r="O10" s="289">
        <v>16600</v>
      </c>
      <c r="P10" s="1552">
        <f t="shared" si="7"/>
        <v>500.0916</v>
      </c>
      <c r="Q10" s="90">
        <v>16600</v>
      </c>
      <c r="R10" s="289">
        <f t="shared" si="7"/>
        <v>500.0916</v>
      </c>
      <c r="S10" s="289"/>
      <c r="T10" s="289"/>
      <c r="U10" s="289"/>
      <c r="V10" s="513"/>
    </row>
    <row r="11" spans="1:22" ht="15" customHeight="1">
      <c r="A11" s="115"/>
      <c r="B11" s="789" t="s">
        <v>454</v>
      </c>
      <c r="C11" s="803">
        <v>93</v>
      </c>
      <c r="D11" s="1524">
        <v>142</v>
      </c>
      <c r="E11" s="56">
        <v>2987</v>
      </c>
      <c r="F11" s="55">
        <f t="shared" si="5"/>
        <v>89.98636200000001</v>
      </c>
      <c r="G11" s="532">
        <v>4979</v>
      </c>
      <c r="H11" s="512">
        <f t="shared" si="8"/>
        <v>149.997354</v>
      </c>
      <c r="I11" s="289">
        <v>3320</v>
      </c>
      <c r="J11" s="289">
        <f t="shared" si="6"/>
        <v>100.01832</v>
      </c>
      <c r="K11" s="289"/>
      <c r="L11" s="289"/>
      <c r="M11" s="289"/>
      <c r="N11" s="249"/>
      <c r="O11" s="289">
        <v>2987</v>
      </c>
      <c r="P11" s="1552">
        <f t="shared" si="7"/>
        <v>89.98636200000001</v>
      </c>
      <c r="Q11" s="90">
        <v>2987</v>
      </c>
      <c r="R11" s="289">
        <f t="shared" si="7"/>
        <v>89.98636200000001</v>
      </c>
      <c r="S11" s="289"/>
      <c r="T11" s="289"/>
      <c r="U11" s="289"/>
      <c r="V11" s="513"/>
    </row>
    <row r="12" spans="1:22" ht="15" customHeight="1">
      <c r="A12" s="115"/>
      <c r="B12" s="789" t="s">
        <v>455</v>
      </c>
      <c r="C12" s="803">
        <v>2738</v>
      </c>
      <c r="D12" s="1524">
        <v>2013</v>
      </c>
      <c r="E12" s="56">
        <v>46471</v>
      </c>
      <c r="F12" s="55">
        <f t="shared" si="5"/>
        <v>1399.9853460000002</v>
      </c>
      <c r="G12" s="532">
        <v>82985</v>
      </c>
      <c r="H12" s="512">
        <f t="shared" si="8"/>
        <v>2500.00611</v>
      </c>
      <c r="I12" s="289">
        <v>73030</v>
      </c>
      <c r="J12" s="289">
        <f t="shared" si="6"/>
        <v>2200.1017800000004</v>
      </c>
      <c r="K12" s="289"/>
      <c r="L12" s="289"/>
      <c r="M12" s="289"/>
      <c r="N12" s="249"/>
      <c r="O12" s="289">
        <v>49790</v>
      </c>
      <c r="P12" s="1552">
        <f t="shared" si="7"/>
        <v>1499.97354</v>
      </c>
      <c r="Q12" s="90">
        <v>49790</v>
      </c>
      <c r="R12" s="289">
        <f t="shared" si="7"/>
        <v>1499.97354</v>
      </c>
      <c r="S12" s="289"/>
      <c r="T12" s="289"/>
      <c r="U12" s="289"/>
      <c r="V12" s="513"/>
    </row>
    <row r="13" spans="1:22" ht="15" customHeight="1">
      <c r="A13" s="115"/>
      <c r="B13" s="789" t="s">
        <v>456</v>
      </c>
      <c r="C13" s="803"/>
      <c r="D13" s="1524">
        <v>75</v>
      </c>
      <c r="E13" s="56">
        <v>1660</v>
      </c>
      <c r="F13" s="55">
        <f t="shared" si="5"/>
        <v>50.00916</v>
      </c>
      <c r="G13" s="532">
        <v>1660</v>
      </c>
      <c r="H13" s="512">
        <f t="shared" si="8"/>
        <v>50.00916</v>
      </c>
      <c r="I13" s="289">
        <v>1660</v>
      </c>
      <c r="J13" s="289">
        <f t="shared" si="6"/>
        <v>50.00916</v>
      </c>
      <c r="K13" s="289"/>
      <c r="L13" s="289"/>
      <c r="M13" s="289"/>
      <c r="N13" s="249"/>
      <c r="O13" s="289">
        <v>1660</v>
      </c>
      <c r="P13" s="1552">
        <f t="shared" si="7"/>
        <v>50.00916</v>
      </c>
      <c r="Q13" s="90">
        <v>1660</v>
      </c>
      <c r="R13" s="289">
        <f t="shared" si="7"/>
        <v>50.00916</v>
      </c>
      <c r="S13" s="289"/>
      <c r="T13" s="289"/>
      <c r="U13" s="289"/>
      <c r="V13" s="513"/>
    </row>
    <row r="14" spans="1:22" ht="15" customHeight="1">
      <c r="A14" s="161" t="s">
        <v>439</v>
      </c>
      <c r="B14" s="807" t="s">
        <v>1140</v>
      </c>
      <c r="C14" s="802">
        <v>22</v>
      </c>
      <c r="D14" s="1523">
        <v>22</v>
      </c>
      <c r="E14" s="56">
        <v>664</v>
      </c>
      <c r="F14" s="55">
        <f t="shared" si="5"/>
        <v>20.003664</v>
      </c>
      <c r="G14" s="532">
        <v>664</v>
      </c>
      <c r="H14" s="512">
        <f t="shared" si="8"/>
        <v>20.003664</v>
      </c>
      <c r="I14" s="289">
        <v>664</v>
      </c>
      <c r="J14" s="289">
        <f t="shared" si="6"/>
        <v>20.003664</v>
      </c>
      <c r="K14" s="289"/>
      <c r="L14" s="289"/>
      <c r="M14" s="289"/>
      <c r="N14" s="249"/>
      <c r="O14" s="289">
        <v>664</v>
      </c>
      <c r="P14" s="1552">
        <f t="shared" si="7"/>
        <v>20.003664</v>
      </c>
      <c r="Q14" s="90">
        <v>664</v>
      </c>
      <c r="R14" s="289">
        <f t="shared" si="7"/>
        <v>20.003664</v>
      </c>
      <c r="S14" s="289"/>
      <c r="T14" s="289"/>
      <c r="U14" s="289"/>
      <c r="V14" s="513"/>
    </row>
    <row r="15" spans="1:22" ht="15" customHeight="1">
      <c r="A15" s="133" t="s">
        <v>440</v>
      </c>
      <c r="B15" s="808" t="s">
        <v>27</v>
      </c>
      <c r="C15" s="804">
        <v>120</v>
      </c>
      <c r="D15" s="1525">
        <v>150</v>
      </c>
      <c r="E15" s="35">
        <v>5477</v>
      </c>
      <c r="F15" s="55">
        <f t="shared" si="5"/>
        <v>165.00010200000003</v>
      </c>
      <c r="G15" s="532">
        <v>5975</v>
      </c>
      <c r="H15" s="512">
        <f t="shared" si="8"/>
        <v>180.00285</v>
      </c>
      <c r="I15" s="249">
        <v>5975</v>
      </c>
      <c r="J15" s="289">
        <f t="shared" si="6"/>
        <v>180.00285</v>
      </c>
      <c r="K15" s="249"/>
      <c r="L15" s="249"/>
      <c r="M15" s="249"/>
      <c r="N15" s="249"/>
      <c r="O15" s="249">
        <v>5975</v>
      </c>
      <c r="P15" s="1552">
        <f t="shared" si="7"/>
        <v>180.00285</v>
      </c>
      <c r="Q15" s="985">
        <v>5975</v>
      </c>
      <c r="R15" s="289">
        <f t="shared" si="7"/>
        <v>180.00285</v>
      </c>
      <c r="S15" s="249"/>
      <c r="T15" s="289"/>
      <c r="U15" s="249"/>
      <c r="V15" s="513"/>
    </row>
    <row r="16" spans="1:22" s="24" customFormat="1" ht="19.5" customHeight="1">
      <c r="A16" s="112" t="s">
        <v>441</v>
      </c>
      <c r="B16" s="787" t="s">
        <v>967</v>
      </c>
      <c r="C16" s="801">
        <f aca="true" t="shared" si="9" ref="C16:N16">SUM(C17:C19)</f>
        <v>526</v>
      </c>
      <c r="D16" s="1522">
        <f t="shared" si="9"/>
        <v>1492</v>
      </c>
      <c r="E16" s="20">
        <f t="shared" si="9"/>
        <v>49791</v>
      </c>
      <c r="F16" s="18">
        <f t="shared" si="9"/>
        <v>1500.003666</v>
      </c>
      <c r="G16" s="464">
        <f t="shared" si="9"/>
        <v>33200</v>
      </c>
      <c r="H16" s="245">
        <f t="shared" si="9"/>
        <v>1000.1832</v>
      </c>
      <c r="I16" s="246">
        <f t="shared" si="9"/>
        <v>37516</v>
      </c>
      <c r="J16" s="246">
        <f t="shared" si="9"/>
        <v>1130.1832</v>
      </c>
      <c r="K16" s="246">
        <f t="shared" si="9"/>
        <v>0</v>
      </c>
      <c r="L16" s="246">
        <f t="shared" si="9"/>
        <v>0</v>
      </c>
      <c r="M16" s="246">
        <f t="shared" si="9"/>
        <v>0</v>
      </c>
      <c r="N16" s="246">
        <f t="shared" si="9"/>
        <v>0</v>
      </c>
      <c r="O16" s="246">
        <f>SUM(O17:O19)</f>
        <v>37516</v>
      </c>
      <c r="P16" s="1550">
        <f>SUM(P17:P19)</f>
        <v>1130.1832</v>
      </c>
      <c r="Q16" s="245">
        <f>SUM(Q17:Q19)</f>
        <v>37516</v>
      </c>
      <c r="R16" s="246">
        <f>SUM(R17:R19)</f>
        <v>1130.1832</v>
      </c>
      <c r="S16" s="246">
        <v>37516</v>
      </c>
      <c r="T16" s="246">
        <f>S16*30.126/1000</f>
        <v>1130.207016</v>
      </c>
      <c r="U16" s="246">
        <v>37516</v>
      </c>
      <c r="V16" s="255">
        <f>U16*30.126/1000</f>
        <v>1130.207016</v>
      </c>
    </row>
    <row r="17" spans="1:22" ht="15.75" customHeight="1">
      <c r="A17" s="136"/>
      <c r="B17" s="807" t="s">
        <v>392</v>
      </c>
      <c r="C17" s="802">
        <v>526</v>
      </c>
      <c r="D17" s="1523">
        <v>500</v>
      </c>
      <c r="E17" s="35">
        <v>16597</v>
      </c>
      <c r="F17" s="8">
        <f>(E17*30.126)/1000</f>
        <v>500.001222</v>
      </c>
      <c r="G17" s="446">
        <v>16600</v>
      </c>
      <c r="H17" s="512">
        <f t="shared" si="8"/>
        <v>500.0916</v>
      </c>
      <c r="I17" s="249">
        <v>16600</v>
      </c>
      <c r="J17" s="249">
        <f>I17*30.126/1000</f>
        <v>500.0916</v>
      </c>
      <c r="K17" s="249"/>
      <c r="L17" s="249"/>
      <c r="M17" s="249"/>
      <c r="N17" s="514"/>
      <c r="O17" s="249">
        <v>16600</v>
      </c>
      <c r="P17" s="1553">
        <f>O17*30.126/1000</f>
        <v>500.0916</v>
      </c>
      <c r="Q17" s="985">
        <v>16600</v>
      </c>
      <c r="R17" s="249">
        <f>Q17*30.126/1000</f>
        <v>500.0916</v>
      </c>
      <c r="S17" s="249"/>
      <c r="T17" s="249"/>
      <c r="U17" s="249"/>
      <c r="V17" s="304"/>
    </row>
    <row r="18" spans="1:22" ht="15.75" customHeight="1">
      <c r="A18" s="136"/>
      <c r="B18" s="807" t="s">
        <v>1154</v>
      </c>
      <c r="C18" s="802"/>
      <c r="D18" s="1523"/>
      <c r="E18" s="35"/>
      <c r="F18" s="8"/>
      <c r="G18" s="446"/>
      <c r="H18" s="512"/>
      <c r="I18" s="249">
        <v>4316</v>
      </c>
      <c r="J18" s="249">
        <v>130</v>
      </c>
      <c r="K18" s="249"/>
      <c r="L18" s="249"/>
      <c r="M18" s="249"/>
      <c r="N18" s="514"/>
      <c r="O18" s="249">
        <v>4316</v>
      </c>
      <c r="P18" s="1553">
        <v>130</v>
      </c>
      <c r="Q18" s="985">
        <v>4316</v>
      </c>
      <c r="R18" s="249">
        <v>130</v>
      </c>
      <c r="S18" s="249"/>
      <c r="T18" s="249"/>
      <c r="U18" s="249"/>
      <c r="V18" s="304"/>
    </row>
    <row r="19" spans="1:22" ht="15.75" customHeight="1">
      <c r="A19" s="167"/>
      <c r="B19" s="807" t="s">
        <v>393</v>
      </c>
      <c r="C19" s="802"/>
      <c r="D19" s="1523">
        <v>992</v>
      </c>
      <c r="E19" s="35">
        <v>33194</v>
      </c>
      <c r="F19" s="8">
        <f>(E19*30.126)/1000</f>
        <v>1000.002444</v>
      </c>
      <c r="G19" s="446">
        <v>16600</v>
      </c>
      <c r="H19" s="512">
        <f t="shared" si="8"/>
        <v>500.0916</v>
      </c>
      <c r="I19" s="249">
        <v>16600</v>
      </c>
      <c r="J19" s="249">
        <f>I19*30.126/1000</f>
        <v>500.0916</v>
      </c>
      <c r="K19" s="249"/>
      <c r="L19" s="249"/>
      <c r="M19" s="249"/>
      <c r="N19" s="514"/>
      <c r="O19" s="249">
        <v>16600</v>
      </c>
      <c r="P19" s="1553">
        <f>O19*30.126/1000</f>
        <v>500.0916</v>
      </c>
      <c r="Q19" s="985">
        <v>16600</v>
      </c>
      <c r="R19" s="249">
        <f>Q19*30.126/1000</f>
        <v>500.0916</v>
      </c>
      <c r="S19" s="249"/>
      <c r="T19" s="249"/>
      <c r="U19" s="249"/>
      <c r="V19" s="304"/>
    </row>
    <row r="20" spans="1:22" s="71" customFormat="1" ht="19.5" customHeight="1">
      <c r="A20" s="111" t="s">
        <v>740</v>
      </c>
      <c r="B20" s="786" t="s">
        <v>457</v>
      </c>
      <c r="C20" s="800">
        <f aca="true" t="shared" si="10" ref="C20:V20">C21</f>
        <v>910</v>
      </c>
      <c r="D20" s="1521">
        <f t="shared" si="10"/>
        <v>7658</v>
      </c>
      <c r="E20" s="19">
        <f t="shared" si="10"/>
        <v>636786</v>
      </c>
      <c r="F20" s="17">
        <f t="shared" si="10"/>
        <v>19183.815036</v>
      </c>
      <c r="G20" s="463">
        <f t="shared" si="10"/>
        <v>564232</v>
      </c>
      <c r="H20" s="508">
        <f t="shared" si="10"/>
        <v>16997.700432</v>
      </c>
      <c r="I20" s="244">
        <f t="shared" si="10"/>
        <v>527718</v>
      </c>
      <c r="J20" s="244">
        <f t="shared" si="10"/>
        <v>15898.032468</v>
      </c>
      <c r="K20" s="244">
        <f t="shared" si="10"/>
        <v>0</v>
      </c>
      <c r="L20" s="244">
        <f t="shared" si="10"/>
        <v>0</v>
      </c>
      <c r="M20" s="244">
        <f t="shared" si="10"/>
        <v>0</v>
      </c>
      <c r="N20" s="244">
        <f t="shared" si="10"/>
        <v>0</v>
      </c>
      <c r="O20" s="244">
        <f t="shared" si="10"/>
        <v>527718</v>
      </c>
      <c r="P20" s="1549">
        <f t="shared" si="10"/>
        <v>15898.032468</v>
      </c>
      <c r="Q20" s="875">
        <f t="shared" si="10"/>
        <v>800027</v>
      </c>
      <c r="R20" s="244">
        <f t="shared" si="10"/>
        <v>24101.613402</v>
      </c>
      <c r="S20" s="244">
        <f t="shared" si="10"/>
        <v>770027</v>
      </c>
      <c r="T20" s="244">
        <f t="shared" si="10"/>
        <v>23197.833402000004</v>
      </c>
      <c r="U20" s="244">
        <f t="shared" si="10"/>
        <v>770027</v>
      </c>
      <c r="V20" s="254">
        <f t="shared" si="10"/>
        <v>23197.833402000004</v>
      </c>
    </row>
    <row r="21" spans="1:22" s="72" customFormat="1" ht="19.5" customHeight="1">
      <c r="A21" s="112" t="s">
        <v>443</v>
      </c>
      <c r="B21" s="787" t="s">
        <v>967</v>
      </c>
      <c r="C21" s="801">
        <f aca="true" t="shared" si="11" ref="C21:R21">C22+C37</f>
        <v>910</v>
      </c>
      <c r="D21" s="1522">
        <f t="shared" si="11"/>
        <v>7658</v>
      </c>
      <c r="E21" s="20">
        <f t="shared" si="11"/>
        <v>636786</v>
      </c>
      <c r="F21" s="18">
        <f t="shared" si="11"/>
        <v>19183.815036</v>
      </c>
      <c r="G21" s="464">
        <f t="shared" si="11"/>
        <v>564232</v>
      </c>
      <c r="H21" s="245">
        <f t="shared" si="11"/>
        <v>16997.700432</v>
      </c>
      <c r="I21" s="246">
        <f t="shared" si="11"/>
        <v>527718</v>
      </c>
      <c r="J21" s="246">
        <f t="shared" si="11"/>
        <v>15898.032468</v>
      </c>
      <c r="K21" s="246">
        <f t="shared" si="11"/>
        <v>0</v>
      </c>
      <c r="L21" s="246">
        <f t="shared" si="11"/>
        <v>0</v>
      </c>
      <c r="M21" s="246">
        <f t="shared" si="11"/>
        <v>0</v>
      </c>
      <c r="N21" s="246">
        <f t="shared" si="11"/>
        <v>0</v>
      </c>
      <c r="O21" s="246">
        <f t="shared" si="11"/>
        <v>527718</v>
      </c>
      <c r="P21" s="1550">
        <f t="shared" si="11"/>
        <v>15898.032468</v>
      </c>
      <c r="Q21" s="245">
        <f t="shared" si="11"/>
        <v>800027</v>
      </c>
      <c r="R21" s="246">
        <f t="shared" si="11"/>
        <v>24101.613402</v>
      </c>
      <c r="S21" s="246">
        <v>770027</v>
      </c>
      <c r="T21" s="246">
        <f>S21*30.126/1000</f>
        <v>23197.833402000004</v>
      </c>
      <c r="U21" s="246">
        <v>770027</v>
      </c>
      <c r="V21" s="255">
        <f>U21*30.126/1000</f>
        <v>23197.833402000004</v>
      </c>
    </row>
    <row r="22" spans="1:22" ht="15.75" customHeight="1">
      <c r="A22" s="161" t="s">
        <v>444</v>
      </c>
      <c r="B22" s="809" t="s">
        <v>92</v>
      </c>
      <c r="C22" s="805">
        <f aca="true" t="shared" si="12" ref="C22:N22">C23+C31+C34</f>
        <v>910</v>
      </c>
      <c r="D22" s="1526">
        <f t="shared" si="12"/>
        <v>7658</v>
      </c>
      <c r="E22" s="1008">
        <f t="shared" si="12"/>
        <v>32166</v>
      </c>
      <c r="F22" s="1536">
        <f t="shared" si="12"/>
        <v>969.032916</v>
      </c>
      <c r="G22" s="533">
        <f t="shared" si="12"/>
        <v>2800</v>
      </c>
      <c r="H22" s="515">
        <f t="shared" si="12"/>
        <v>84</v>
      </c>
      <c r="I22" s="516">
        <f t="shared" si="12"/>
        <v>6119</v>
      </c>
      <c r="J22" s="516">
        <f t="shared" si="12"/>
        <v>184.340994</v>
      </c>
      <c r="K22" s="516">
        <f t="shared" si="12"/>
        <v>0</v>
      </c>
      <c r="L22" s="516">
        <f t="shared" si="12"/>
        <v>0</v>
      </c>
      <c r="M22" s="516">
        <f t="shared" si="12"/>
        <v>0</v>
      </c>
      <c r="N22" s="516">
        <f t="shared" si="12"/>
        <v>0</v>
      </c>
      <c r="O22" s="516">
        <f>O23+O31+O34</f>
        <v>6119</v>
      </c>
      <c r="P22" s="1554">
        <f>P23+P31+P34</f>
        <v>184.340994</v>
      </c>
      <c r="Q22" s="1563">
        <f>Q23+Q31+Q34</f>
        <v>36119</v>
      </c>
      <c r="R22" s="516">
        <f>R23+R31+R34</f>
        <v>1088.1209939999999</v>
      </c>
      <c r="S22" s="516"/>
      <c r="T22" s="516"/>
      <c r="U22" s="516"/>
      <c r="V22" s="517"/>
    </row>
    <row r="23" spans="1:22" ht="15.75" customHeight="1">
      <c r="A23" s="173"/>
      <c r="B23" s="789" t="s">
        <v>385</v>
      </c>
      <c r="C23" s="805">
        <f>SUM(C24:C30)</f>
        <v>844</v>
      </c>
      <c r="D23" s="1526">
        <f aca="true" t="shared" si="13" ref="D23:N23">SUM(D24:D30)</f>
        <v>3251</v>
      </c>
      <c r="E23" s="1009">
        <f t="shared" si="13"/>
        <v>28847</v>
      </c>
      <c r="F23" s="322">
        <f t="shared" si="13"/>
        <v>869.044722</v>
      </c>
      <c r="G23" s="534">
        <v>1300</v>
      </c>
      <c r="H23" s="518">
        <v>39</v>
      </c>
      <c r="I23" s="519">
        <f t="shared" si="13"/>
        <v>4619</v>
      </c>
      <c r="J23" s="519">
        <f t="shared" si="13"/>
        <v>139.151994</v>
      </c>
      <c r="K23" s="519">
        <f t="shared" si="13"/>
        <v>0</v>
      </c>
      <c r="L23" s="519">
        <f t="shared" si="13"/>
        <v>0</v>
      </c>
      <c r="M23" s="519">
        <f t="shared" si="13"/>
        <v>0</v>
      </c>
      <c r="N23" s="519">
        <f t="shared" si="13"/>
        <v>0</v>
      </c>
      <c r="O23" s="519">
        <f>SUM(O24:O30)</f>
        <v>4619</v>
      </c>
      <c r="P23" s="1555">
        <f>SUM(P24:P30)</f>
        <v>139.151994</v>
      </c>
      <c r="Q23" s="1564">
        <f>SUM(Q24:Q30)</f>
        <v>4619</v>
      </c>
      <c r="R23" s="519">
        <f>SUM(R24:R30)</f>
        <v>139.151994</v>
      </c>
      <c r="S23" s="519"/>
      <c r="T23" s="519"/>
      <c r="U23" s="519"/>
      <c r="V23" s="520"/>
    </row>
    <row r="24" spans="1:22" ht="15.75" customHeight="1" hidden="1">
      <c r="A24" s="114"/>
      <c r="B24" s="791" t="s">
        <v>386</v>
      </c>
      <c r="C24" s="803">
        <v>110</v>
      </c>
      <c r="D24" s="1524">
        <v>2383</v>
      </c>
      <c r="E24" s="56"/>
      <c r="F24" s="55"/>
      <c r="G24" s="532"/>
      <c r="H24" s="512"/>
      <c r="I24" s="289"/>
      <c r="J24" s="289"/>
      <c r="K24" s="289"/>
      <c r="L24" s="289"/>
      <c r="M24" s="289"/>
      <c r="N24" s="249"/>
      <c r="O24" s="289"/>
      <c r="P24" s="1552"/>
      <c r="Q24" s="90"/>
      <c r="R24" s="289"/>
      <c r="S24" s="289"/>
      <c r="T24" s="289"/>
      <c r="U24" s="289"/>
      <c r="V24" s="513"/>
    </row>
    <row r="25" spans="1:22" ht="15.75" customHeight="1">
      <c r="A25" s="114"/>
      <c r="B25" s="791" t="s">
        <v>1233</v>
      </c>
      <c r="C25" s="803">
        <v>363</v>
      </c>
      <c r="D25" s="1524"/>
      <c r="E25" s="56">
        <v>12250</v>
      </c>
      <c r="F25" s="55">
        <f>E25*30.126/1000</f>
        <v>369.0435</v>
      </c>
      <c r="G25" s="532"/>
      <c r="H25" s="512"/>
      <c r="I25" s="289">
        <v>3319</v>
      </c>
      <c r="J25" s="289">
        <f>I25*30.126/1000</f>
        <v>99.98819400000001</v>
      </c>
      <c r="K25" s="289"/>
      <c r="L25" s="289"/>
      <c r="M25" s="289"/>
      <c r="N25" s="289"/>
      <c r="O25" s="289">
        <v>3319</v>
      </c>
      <c r="P25" s="1552">
        <f>O25*30.126/1000</f>
        <v>99.98819400000001</v>
      </c>
      <c r="Q25" s="90">
        <v>3319</v>
      </c>
      <c r="R25" s="289">
        <f>Q25*30.126/1000</f>
        <v>99.98819400000001</v>
      </c>
      <c r="S25" s="289"/>
      <c r="T25" s="289"/>
      <c r="U25" s="289"/>
      <c r="V25" s="513"/>
    </row>
    <row r="26" spans="1:22" ht="15.75" customHeight="1" hidden="1">
      <c r="A26" s="114"/>
      <c r="B26" s="791" t="s">
        <v>387</v>
      </c>
      <c r="C26" s="803"/>
      <c r="D26" s="1524"/>
      <c r="E26" s="56"/>
      <c r="F26" s="55"/>
      <c r="G26" s="532"/>
      <c r="H26" s="512"/>
      <c r="I26" s="289"/>
      <c r="J26" s="289"/>
      <c r="K26" s="289"/>
      <c r="L26" s="289"/>
      <c r="M26" s="289"/>
      <c r="N26" s="289"/>
      <c r="O26" s="289"/>
      <c r="P26" s="1552"/>
      <c r="Q26" s="90"/>
      <c r="R26" s="289"/>
      <c r="S26" s="289"/>
      <c r="T26" s="289"/>
      <c r="U26" s="289"/>
      <c r="V26" s="513"/>
    </row>
    <row r="27" spans="1:22" ht="15.75" customHeight="1">
      <c r="A27" s="114"/>
      <c r="B27" s="791" t="s">
        <v>1232</v>
      </c>
      <c r="C27" s="803"/>
      <c r="D27" s="1524">
        <v>271</v>
      </c>
      <c r="E27" s="56">
        <v>16597</v>
      </c>
      <c r="F27" s="55">
        <f>(E27*30.126)/1000</f>
        <v>500.001222</v>
      </c>
      <c r="G27" s="532">
        <v>1300</v>
      </c>
      <c r="H27" s="512">
        <f>G27*30.126/1000</f>
        <v>39.1638</v>
      </c>
      <c r="I27" s="289">
        <v>1300</v>
      </c>
      <c r="J27" s="289">
        <f>I27*30.126/1000</f>
        <v>39.1638</v>
      </c>
      <c r="K27" s="289"/>
      <c r="L27" s="289"/>
      <c r="M27" s="289"/>
      <c r="N27" s="249"/>
      <c r="O27" s="289">
        <v>1300</v>
      </c>
      <c r="P27" s="1552">
        <f>O27*30.126/1000</f>
        <v>39.1638</v>
      </c>
      <c r="Q27" s="90">
        <v>1300</v>
      </c>
      <c r="R27" s="289">
        <f>Q27*30.126/1000</f>
        <v>39.1638</v>
      </c>
      <c r="S27" s="289"/>
      <c r="T27" s="289"/>
      <c r="U27" s="289"/>
      <c r="V27" s="513"/>
    </row>
    <row r="28" spans="1:22" ht="15.75" customHeight="1" hidden="1">
      <c r="A28" s="114"/>
      <c r="B28" s="791" t="s">
        <v>1234</v>
      </c>
      <c r="C28" s="803">
        <v>95</v>
      </c>
      <c r="D28" s="1524">
        <v>194</v>
      </c>
      <c r="E28" s="56"/>
      <c r="F28" s="55"/>
      <c r="G28" s="532"/>
      <c r="H28" s="512"/>
      <c r="I28" s="289"/>
      <c r="J28" s="289"/>
      <c r="K28" s="289"/>
      <c r="L28" s="289"/>
      <c r="M28" s="289"/>
      <c r="N28" s="249"/>
      <c r="O28" s="289"/>
      <c r="P28" s="1552"/>
      <c r="Q28" s="90"/>
      <c r="R28" s="289"/>
      <c r="S28" s="289"/>
      <c r="T28" s="289"/>
      <c r="U28" s="289"/>
      <c r="V28" s="513"/>
    </row>
    <row r="29" spans="1:22" ht="15.75" customHeight="1" hidden="1">
      <c r="A29" s="114"/>
      <c r="B29" s="791" t="s">
        <v>1155</v>
      </c>
      <c r="C29" s="803"/>
      <c r="D29" s="1524">
        <v>330</v>
      </c>
      <c r="E29" s="56"/>
      <c r="F29" s="55"/>
      <c r="G29" s="532"/>
      <c r="H29" s="512"/>
      <c r="I29" s="289"/>
      <c r="J29" s="289"/>
      <c r="K29" s="289"/>
      <c r="L29" s="289"/>
      <c r="M29" s="289"/>
      <c r="N29" s="249"/>
      <c r="O29" s="289"/>
      <c r="P29" s="1552"/>
      <c r="Q29" s="90"/>
      <c r="R29" s="289"/>
      <c r="S29" s="289"/>
      <c r="T29" s="289"/>
      <c r="U29" s="289"/>
      <c r="V29" s="513"/>
    </row>
    <row r="30" spans="1:22" ht="15.75" customHeight="1" hidden="1">
      <c r="A30" s="114"/>
      <c r="B30" s="791" t="s">
        <v>1235</v>
      </c>
      <c r="C30" s="803">
        <v>276</v>
      </c>
      <c r="D30" s="1524">
        <v>73</v>
      </c>
      <c r="E30" s="56"/>
      <c r="F30" s="55"/>
      <c r="G30" s="532"/>
      <c r="H30" s="512"/>
      <c r="I30" s="289"/>
      <c r="J30" s="289"/>
      <c r="K30" s="289"/>
      <c r="L30" s="289"/>
      <c r="M30" s="289"/>
      <c r="N30" s="249"/>
      <c r="O30" s="289"/>
      <c r="P30" s="1552"/>
      <c r="Q30" s="90"/>
      <c r="R30" s="289"/>
      <c r="S30" s="289"/>
      <c r="T30" s="289"/>
      <c r="U30" s="289"/>
      <c r="V30" s="513"/>
    </row>
    <row r="31" spans="1:22" ht="15.75" customHeight="1" hidden="1">
      <c r="A31" s="114"/>
      <c r="B31" s="789" t="s">
        <v>89</v>
      </c>
      <c r="C31" s="806">
        <f aca="true" t="shared" si="14" ref="C31:N31">SUM(C32:C33)</f>
        <v>34</v>
      </c>
      <c r="D31" s="1527">
        <f t="shared" si="14"/>
        <v>4407</v>
      </c>
      <c r="E31" s="1010">
        <f t="shared" si="14"/>
        <v>0</v>
      </c>
      <c r="F31" s="69">
        <f t="shared" si="14"/>
        <v>0</v>
      </c>
      <c r="G31" s="535">
        <f t="shared" si="14"/>
        <v>0</v>
      </c>
      <c r="H31" s="521">
        <f t="shared" si="14"/>
        <v>0</v>
      </c>
      <c r="I31" s="522">
        <f t="shared" si="14"/>
        <v>0</v>
      </c>
      <c r="J31" s="522">
        <f t="shared" si="14"/>
        <v>0</v>
      </c>
      <c r="K31" s="522">
        <f t="shared" si="14"/>
        <v>0</v>
      </c>
      <c r="L31" s="522">
        <f t="shared" si="14"/>
        <v>0</v>
      </c>
      <c r="M31" s="522">
        <f t="shared" si="14"/>
        <v>0</v>
      </c>
      <c r="N31" s="522">
        <f t="shared" si="14"/>
        <v>0</v>
      </c>
      <c r="O31" s="522">
        <f>SUM(O32:O33)</f>
        <v>0</v>
      </c>
      <c r="P31" s="1556">
        <f>SUM(P32:P33)</f>
        <v>0</v>
      </c>
      <c r="Q31" s="1565">
        <f>SUM(Q32:Q33)</f>
        <v>0</v>
      </c>
      <c r="R31" s="522">
        <f>SUM(R32:R33)</f>
        <v>0</v>
      </c>
      <c r="S31" s="522"/>
      <c r="T31" s="522"/>
      <c r="U31" s="522"/>
      <c r="V31" s="523"/>
    </row>
    <row r="32" spans="1:22" ht="15.75" customHeight="1" hidden="1">
      <c r="A32" s="174"/>
      <c r="B32" s="791" t="s">
        <v>85</v>
      </c>
      <c r="C32" s="803">
        <f>10+24</f>
        <v>34</v>
      </c>
      <c r="D32" s="1524">
        <v>4225</v>
      </c>
      <c r="E32" s="56"/>
      <c r="F32" s="55"/>
      <c r="G32" s="532"/>
      <c r="H32" s="512"/>
      <c r="I32" s="289"/>
      <c r="J32" s="289"/>
      <c r="K32" s="289"/>
      <c r="L32" s="289"/>
      <c r="M32" s="289"/>
      <c r="N32" s="249"/>
      <c r="O32" s="289"/>
      <c r="P32" s="1552"/>
      <c r="Q32" s="90"/>
      <c r="R32" s="289"/>
      <c r="S32" s="289"/>
      <c r="T32" s="289"/>
      <c r="U32" s="289"/>
      <c r="V32" s="513"/>
    </row>
    <row r="33" spans="1:22" ht="15.75" customHeight="1" hidden="1">
      <c r="A33" s="174"/>
      <c r="B33" s="791" t="s">
        <v>86</v>
      </c>
      <c r="C33" s="803"/>
      <c r="D33" s="1524">
        <v>182</v>
      </c>
      <c r="E33" s="56"/>
      <c r="F33" s="55"/>
      <c r="G33" s="532"/>
      <c r="H33" s="512"/>
      <c r="I33" s="289"/>
      <c r="J33" s="289"/>
      <c r="K33" s="289"/>
      <c r="L33" s="289"/>
      <c r="M33" s="289"/>
      <c r="N33" s="249"/>
      <c r="O33" s="289"/>
      <c r="P33" s="1552"/>
      <c r="Q33" s="90"/>
      <c r="R33" s="289"/>
      <c r="S33" s="289"/>
      <c r="T33" s="289"/>
      <c r="U33" s="289"/>
      <c r="V33" s="513"/>
    </row>
    <row r="34" spans="1:22" ht="15.75" customHeight="1">
      <c r="A34" s="114"/>
      <c r="B34" s="789" t="s">
        <v>458</v>
      </c>
      <c r="C34" s="806">
        <f>SUM(C35:C35)</f>
        <v>32</v>
      </c>
      <c r="D34" s="1527">
        <f>SUM(D35:D35)</f>
        <v>0</v>
      </c>
      <c r="E34" s="1010">
        <f>SUM(E35:E35)</f>
        <v>3319</v>
      </c>
      <c r="F34" s="1625">
        <f>SUM(F35:F35)</f>
        <v>99.98819400000001</v>
      </c>
      <c r="G34" s="535">
        <v>1500</v>
      </c>
      <c r="H34" s="521">
        <v>45</v>
      </c>
      <c r="I34" s="522">
        <f aca="true" t="shared" si="15" ref="I34:P34">SUM(I35:I35)</f>
        <v>1500</v>
      </c>
      <c r="J34" s="522">
        <f t="shared" si="15"/>
        <v>45.189</v>
      </c>
      <c r="K34" s="522">
        <f t="shared" si="15"/>
        <v>0</v>
      </c>
      <c r="L34" s="522">
        <f t="shared" si="15"/>
        <v>0</v>
      </c>
      <c r="M34" s="522">
        <f t="shared" si="15"/>
        <v>0</v>
      </c>
      <c r="N34" s="522">
        <f t="shared" si="15"/>
        <v>0</v>
      </c>
      <c r="O34" s="522">
        <f t="shared" si="15"/>
        <v>1500</v>
      </c>
      <c r="P34" s="1556">
        <f t="shared" si="15"/>
        <v>45.189</v>
      </c>
      <c r="Q34" s="1565">
        <f>SUM(Q35:Q36)</f>
        <v>31500</v>
      </c>
      <c r="R34" s="522">
        <f>SUM(R35:R36)</f>
        <v>948.9689999999999</v>
      </c>
      <c r="S34" s="522"/>
      <c r="T34" s="522"/>
      <c r="U34" s="522"/>
      <c r="V34" s="523"/>
    </row>
    <row r="35" spans="1:22" ht="15.75" customHeight="1">
      <c r="A35" s="175"/>
      <c r="B35" s="791" t="s">
        <v>459</v>
      </c>
      <c r="C35" s="803">
        <v>32</v>
      </c>
      <c r="D35" s="1524"/>
      <c r="E35" s="56">
        <v>3319</v>
      </c>
      <c r="F35" s="55">
        <f>(E35*30.126)/1000</f>
        <v>99.98819400000001</v>
      </c>
      <c r="G35" s="446">
        <v>1500</v>
      </c>
      <c r="H35" s="354">
        <f>G35*30.126/1000</f>
        <v>45.189</v>
      </c>
      <c r="I35" s="289">
        <v>1500</v>
      </c>
      <c r="J35" s="289">
        <f>I35*30.126/1000</f>
        <v>45.189</v>
      </c>
      <c r="K35" s="249"/>
      <c r="L35" s="249"/>
      <c r="M35" s="289"/>
      <c r="N35" s="249"/>
      <c r="O35" s="289">
        <v>1500</v>
      </c>
      <c r="P35" s="1552">
        <f>O35*30.126/1000</f>
        <v>45.189</v>
      </c>
      <c r="Q35" s="90">
        <v>1500</v>
      </c>
      <c r="R35" s="289">
        <f>Q35*30.126/1000</f>
        <v>45.189</v>
      </c>
      <c r="S35" s="289"/>
      <c r="T35" s="289"/>
      <c r="U35" s="289"/>
      <c r="V35" s="513"/>
    </row>
    <row r="36" spans="1:22" ht="15.75" customHeight="1">
      <c r="A36" s="175"/>
      <c r="B36" s="791" t="s">
        <v>90</v>
      </c>
      <c r="C36" s="803"/>
      <c r="D36" s="1524"/>
      <c r="E36" s="56"/>
      <c r="F36" s="55"/>
      <c r="G36" s="446"/>
      <c r="H36" s="354"/>
      <c r="I36" s="289"/>
      <c r="J36" s="289"/>
      <c r="K36" s="249"/>
      <c r="L36" s="249"/>
      <c r="M36" s="289"/>
      <c r="N36" s="249"/>
      <c r="O36" s="289"/>
      <c r="P36" s="1552"/>
      <c r="Q36" s="90">
        <v>30000</v>
      </c>
      <c r="R36" s="289">
        <f>Q36*30.126/1000</f>
        <v>903.78</v>
      </c>
      <c r="S36" s="289"/>
      <c r="T36" s="289"/>
      <c r="U36" s="289"/>
      <c r="V36" s="513"/>
    </row>
    <row r="37" spans="1:22" ht="15.75" customHeight="1">
      <c r="A37" s="161" t="s">
        <v>445</v>
      </c>
      <c r="B37" s="809" t="s">
        <v>93</v>
      </c>
      <c r="C37" s="805">
        <f>C38+C43</f>
        <v>0</v>
      </c>
      <c r="D37" s="1526">
        <f aca="true" t="shared" si="16" ref="D37:N37">D38+D43</f>
        <v>0</v>
      </c>
      <c r="E37" s="1009">
        <f t="shared" si="16"/>
        <v>604620</v>
      </c>
      <c r="F37" s="322">
        <f t="shared" si="16"/>
        <v>18214.78212</v>
      </c>
      <c r="G37" s="534">
        <f t="shared" si="16"/>
        <v>561432</v>
      </c>
      <c r="H37" s="518">
        <f t="shared" si="16"/>
        <v>16913.700432</v>
      </c>
      <c r="I37" s="519">
        <f t="shared" si="16"/>
        <v>521599</v>
      </c>
      <c r="J37" s="519">
        <f t="shared" si="16"/>
        <v>15713.691474</v>
      </c>
      <c r="K37" s="519">
        <f t="shared" si="16"/>
        <v>0</v>
      </c>
      <c r="L37" s="519">
        <f t="shared" si="16"/>
        <v>0</v>
      </c>
      <c r="M37" s="519">
        <f t="shared" si="16"/>
        <v>0</v>
      </c>
      <c r="N37" s="519">
        <f t="shared" si="16"/>
        <v>0</v>
      </c>
      <c r="O37" s="519">
        <f>O38+O43</f>
        <v>521599</v>
      </c>
      <c r="P37" s="1555">
        <f>P38+P43</f>
        <v>15713.691474</v>
      </c>
      <c r="Q37" s="1564">
        <f>Q38+Q43</f>
        <v>763908</v>
      </c>
      <c r="R37" s="519">
        <f>R38+R43</f>
        <v>23013.492408</v>
      </c>
      <c r="S37" s="519"/>
      <c r="T37" s="519"/>
      <c r="U37" s="519"/>
      <c r="V37" s="520"/>
    </row>
    <row r="38" spans="1:22" ht="15.75" customHeight="1">
      <c r="A38" s="173"/>
      <c r="B38" s="789" t="s">
        <v>385</v>
      </c>
      <c r="C38" s="805">
        <f>SUM(C39:C42)</f>
        <v>0</v>
      </c>
      <c r="D38" s="1526">
        <f aca="true" t="shared" si="17" ref="D38:N38">SUM(D39:D42)</f>
        <v>0</v>
      </c>
      <c r="E38" s="1009">
        <f t="shared" si="17"/>
        <v>339069</v>
      </c>
      <c r="F38" s="322">
        <f t="shared" si="17"/>
        <v>10214.792694</v>
      </c>
      <c r="G38" s="534">
        <f t="shared" si="17"/>
        <v>255599</v>
      </c>
      <c r="H38" s="518">
        <f t="shared" si="17"/>
        <v>7700.175474000001</v>
      </c>
      <c r="I38" s="519">
        <f t="shared" si="17"/>
        <v>255599</v>
      </c>
      <c r="J38" s="519">
        <f t="shared" si="17"/>
        <v>7700.175474000001</v>
      </c>
      <c r="K38" s="519">
        <f t="shared" si="17"/>
        <v>0</v>
      </c>
      <c r="L38" s="519">
        <f t="shared" si="17"/>
        <v>0</v>
      </c>
      <c r="M38" s="519">
        <f t="shared" si="17"/>
        <v>0</v>
      </c>
      <c r="N38" s="519">
        <f t="shared" si="17"/>
        <v>0</v>
      </c>
      <c r="O38" s="519">
        <f>SUM(O39:O42)</f>
        <v>255599</v>
      </c>
      <c r="P38" s="1555">
        <f>SUM(P39:P42)</f>
        <v>7700.175474000001</v>
      </c>
      <c r="Q38" s="1564">
        <f>SUM(Q39:Q42)</f>
        <v>497908</v>
      </c>
      <c r="R38" s="519">
        <f>SUM(R39:R42)</f>
        <v>14999.976407999999</v>
      </c>
      <c r="S38" s="519"/>
      <c r="T38" s="519"/>
      <c r="U38" s="519"/>
      <c r="V38" s="520"/>
    </row>
    <row r="39" spans="1:22" ht="15.75" customHeight="1">
      <c r="A39" s="114"/>
      <c r="B39" s="791" t="s">
        <v>1236</v>
      </c>
      <c r="C39" s="805"/>
      <c r="D39" s="1526"/>
      <c r="E39" s="1008"/>
      <c r="F39" s="1536"/>
      <c r="G39" s="533">
        <v>49790</v>
      </c>
      <c r="H39" s="515">
        <f>G39*30.126/1000</f>
        <v>1499.97354</v>
      </c>
      <c r="I39" s="516">
        <v>49790</v>
      </c>
      <c r="J39" s="289">
        <f>I39*30.126/1000</f>
        <v>1499.97354</v>
      </c>
      <c r="K39" s="516"/>
      <c r="L39" s="516"/>
      <c r="M39" s="516"/>
      <c r="N39" s="516"/>
      <c r="O39" s="516">
        <v>49790</v>
      </c>
      <c r="P39" s="1552">
        <f>O39*30.126/1000</f>
        <v>1499.97354</v>
      </c>
      <c r="Q39" s="1563">
        <v>49790</v>
      </c>
      <c r="R39" s="289">
        <f>Q39*30.126/1000</f>
        <v>1499.97354</v>
      </c>
      <c r="S39" s="516"/>
      <c r="T39" s="289"/>
      <c r="U39" s="516"/>
      <c r="V39" s="513"/>
    </row>
    <row r="40" spans="1:22" ht="15.75" customHeight="1">
      <c r="A40" s="136"/>
      <c r="B40" s="791" t="s">
        <v>386</v>
      </c>
      <c r="C40" s="803"/>
      <c r="D40" s="1524"/>
      <c r="E40" s="35">
        <v>339069</v>
      </c>
      <c r="F40" s="8">
        <f>(E40*30.126)/1000</f>
        <v>10214.792694</v>
      </c>
      <c r="G40" s="446">
        <v>73027</v>
      </c>
      <c r="H40" s="515">
        <f>G40*30.126/1000</f>
        <v>2200.011402</v>
      </c>
      <c r="I40" s="249">
        <v>73027</v>
      </c>
      <c r="J40" s="289">
        <f>I40*30.126/1000</f>
        <v>2200.011402</v>
      </c>
      <c r="K40" s="249"/>
      <c r="L40" s="249"/>
      <c r="M40" s="249"/>
      <c r="N40" s="514"/>
      <c r="O40" s="249">
        <v>73027</v>
      </c>
      <c r="P40" s="1552">
        <f>O40*30.126/1000</f>
        <v>2200.011402</v>
      </c>
      <c r="Q40" s="985">
        <v>265551</v>
      </c>
      <c r="R40" s="289">
        <f>Q40*30.126/1000</f>
        <v>7999.989426</v>
      </c>
      <c r="S40" s="249"/>
      <c r="T40" s="289"/>
      <c r="U40" s="249"/>
      <c r="V40" s="513"/>
    </row>
    <row r="41" spans="1:22" ht="15.75" customHeight="1">
      <c r="A41" s="136"/>
      <c r="B41" s="791" t="s">
        <v>1237</v>
      </c>
      <c r="C41" s="803"/>
      <c r="D41" s="1524"/>
      <c r="E41" s="35"/>
      <c r="F41" s="8"/>
      <c r="G41" s="446">
        <v>33200</v>
      </c>
      <c r="H41" s="515">
        <f>G41*30.126/1000</f>
        <v>1000.1832</v>
      </c>
      <c r="I41" s="249">
        <v>33200</v>
      </c>
      <c r="J41" s="289">
        <f>I41*30.126/1000</f>
        <v>1000.1832</v>
      </c>
      <c r="K41" s="249"/>
      <c r="L41" s="249"/>
      <c r="M41" s="249"/>
      <c r="N41" s="514"/>
      <c r="O41" s="249">
        <v>33200</v>
      </c>
      <c r="P41" s="1552">
        <f>O41*30.126/1000</f>
        <v>1000.1832</v>
      </c>
      <c r="Q41" s="985">
        <v>82985</v>
      </c>
      <c r="R41" s="289">
        <f>Q41*30.126/1000</f>
        <v>2500.00611</v>
      </c>
      <c r="S41" s="249"/>
      <c r="T41" s="289"/>
      <c r="U41" s="249"/>
      <c r="V41" s="513"/>
    </row>
    <row r="42" spans="1:22" ht="15.75" customHeight="1">
      <c r="A42" s="114"/>
      <c r="B42" s="791" t="s">
        <v>387</v>
      </c>
      <c r="C42" s="803"/>
      <c r="D42" s="1524"/>
      <c r="E42" s="56"/>
      <c r="F42" s="55"/>
      <c r="G42" s="532">
        <v>99582</v>
      </c>
      <c r="H42" s="515">
        <f>G42*30.126/1000</f>
        <v>3000.007332</v>
      </c>
      <c r="I42" s="289">
        <v>99582</v>
      </c>
      <c r="J42" s="289">
        <f>I42*30.126/1000</f>
        <v>3000.007332</v>
      </c>
      <c r="K42" s="289"/>
      <c r="L42" s="289"/>
      <c r="M42" s="289"/>
      <c r="N42" s="289"/>
      <c r="O42" s="289">
        <v>99582</v>
      </c>
      <c r="P42" s="1552">
        <f>O42*30.126/1000</f>
        <v>3000.007332</v>
      </c>
      <c r="Q42" s="90">
        <v>99582</v>
      </c>
      <c r="R42" s="289">
        <f>Q42*30.126/1000</f>
        <v>3000.007332</v>
      </c>
      <c r="S42" s="289"/>
      <c r="T42" s="289"/>
      <c r="U42" s="289"/>
      <c r="V42" s="513"/>
    </row>
    <row r="43" spans="1:22" ht="15.75" customHeight="1">
      <c r="A43" s="114"/>
      <c r="B43" s="789" t="s">
        <v>91</v>
      </c>
      <c r="C43" s="805">
        <f>SUM(C44:C45)</f>
        <v>0</v>
      </c>
      <c r="D43" s="1526">
        <f aca="true" t="shared" si="18" ref="D43:N43">SUM(D44:D45)</f>
        <v>0</v>
      </c>
      <c r="E43" s="1009">
        <f t="shared" si="18"/>
        <v>265551</v>
      </c>
      <c r="F43" s="322">
        <f t="shared" si="18"/>
        <v>7999.989426</v>
      </c>
      <c r="G43" s="534">
        <f t="shared" si="18"/>
        <v>305833</v>
      </c>
      <c r="H43" s="518">
        <f t="shared" si="18"/>
        <v>9213.524958</v>
      </c>
      <c r="I43" s="519">
        <f t="shared" si="18"/>
        <v>266000</v>
      </c>
      <c r="J43" s="519">
        <f t="shared" si="18"/>
        <v>8013.516</v>
      </c>
      <c r="K43" s="519">
        <f t="shared" si="18"/>
        <v>0</v>
      </c>
      <c r="L43" s="519">
        <f t="shared" si="18"/>
        <v>0</v>
      </c>
      <c r="M43" s="519">
        <f t="shared" si="18"/>
        <v>0</v>
      </c>
      <c r="N43" s="519">
        <f t="shared" si="18"/>
        <v>0</v>
      </c>
      <c r="O43" s="519">
        <f>SUM(O44:O45)</f>
        <v>266000</v>
      </c>
      <c r="P43" s="1555">
        <f>SUM(P44:P45)</f>
        <v>8013.516</v>
      </c>
      <c r="Q43" s="1564">
        <f>SUM(Q44:Q45)</f>
        <v>266000</v>
      </c>
      <c r="R43" s="519">
        <f>SUM(R44:R45)</f>
        <v>8013.516</v>
      </c>
      <c r="S43" s="519"/>
      <c r="T43" s="519"/>
      <c r="U43" s="519"/>
      <c r="V43" s="520"/>
    </row>
    <row r="44" spans="1:22" ht="15.75" customHeight="1" hidden="1">
      <c r="A44" s="136"/>
      <c r="B44" s="791" t="s">
        <v>576</v>
      </c>
      <c r="C44" s="803"/>
      <c r="D44" s="1524"/>
      <c r="E44" s="35"/>
      <c r="F44" s="8"/>
      <c r="G44" s="446">
        <v>39833</v>
      </c>
      <c r="H44" s="515">
        <f>G44*30.126/1000</f>
        <v>1200.0089580000001</v>
      </c>
      <c r="I44" s="249"/>
      <c r="J44" s="249"/>
      <c r="K44" s="249"/>
      <c r="L44" s="249"/>
      <c r="M44" s="249"/>
      <c r="N44" s="514"/>
      <c r="O44" s="249"/>
      <c r="P44" s="1553"/>
      <c r="Q44" s="985"/>
      <c r="R44" s="249"/>
      <c r="S44" s="249"/>
      <c r="T44" s="249"/>
      <c r="U44" s="249"/>
      <c r="V44" s="304"/>
    </row>
    <row r="45" spans="1:22" ht="15.75" customHeight="1">
      <c r="A45" s="167"/>
      <c r="B45" s="791" t="s">
        <v>460</v>
      </c>
      <c r="C45" s="803"/>
      <c r="D45" s="1524"/>
      <c r="E45" s="35">
        <v>265551</v>
      </c>
      <c r="F45" s="8">
        <f>(E45*30.126)/1000</f>
        <v>7999.989426</v>
      </c>
      <c r="G45" s="446">
        <v>266000</v>
      </c>
      <c r="H45" s="515">
        <f>G45*30.126/1000</f>
        <v>8013.516</v>
      </c>
      <c r="I45" s="249">
        <v>266000</v>
      </c>
      <c r="J45" s="289">
        <f>I45*30.126/1000</f>
        <v>8013.516</v>
      </c>
      <c r="K45" s="249"/>
      <c r="L45" s="249"/>
      <c r="M45" s="249"/>
      <c r="N45" s="514"/>
      <c r="O45" s="249">
        <v>266000</v>
      </c>
      <c r="P45" s="1552">
        <f>O45*30.126/1000</f>
        <v>8013.516</v>
      </c>
      <c r="Q45" s="985">
        <v>266000</v>
      </c>
      <c r="R45" s="289">
        <f>Q45*30.126/1000</f>
        <v>8013.516</v>
      </c>
      <c r="S45" s="249"/>
      <c r="T45" s="289"/>
      <c r="U45" s="249"/>
      <c r="V45" s="513"/>
    </row>
    <row r="46" spans="1:22" s="30" customFormat="1" ht="19.5" customHeight="1">
      <c r="A46" s="111" t="s">
        <v>741</v>
      </c>
      <c r="B46" s="786" t="s">
        <v>389</v>
      </c>
      <c r="C46" s="800">
        <f aca="true" t="shared" si="19" ref="C46:N46">C47+C55</f>
        <v>567</v>
      </c>
      <c r="D46" s="1521">
        <f t="shared" si="19"/>
        <v>2225</v>
      </c>
      <c r="E46" s="19">
        <f t="shared" si="19"/>
        <v>73524</v>
      </c>
      <c r="F46" s="17">
        <f t="shared" si="19"/>
        <v>2214.984024</v>
      </c>
      <c r="G46" s="463">
        <f t="shared" si="19"/>
        <v>34120</v>
      </c>
      <c r="H46" s="508">
        <f t="shared" si="19"/>
        <v>1027.89912</v>
      </c>
      <c r="I46" s="244">
        <f t="shared" si="19"/>
        <v>34120</v>
      </c>
      <c r="J46" s="244">
        <f t="shared" si="19"/>
        <v>1027.89912</v>
      </c>
      <c r="K46" s="244">
        <f t="shared" si="19"/>
        <v>0</v>
      </c>
      <c r="L46" s="244">
        <f t="shared" si="19"/>
        <v>0</v>
      </c>
      <c r="M46" s="244">
        <f t="shared" si="19"/>
        <v>0</v>
      </c>
      <c r="N46" s="244">
        <f t="shared" si="19"/>
        <v>0</v>
      </c>
      <c r="O46" s="244">
        <f aca="true" t="shared" si="20" ref="O46:V46">O47+O55</f>
        <v>34120</v>
      </c>
      <c r="P46" s="1549">
        <f t="shared" si="20"/>
        <v>1027.89912</v>
      </c>
      <c r="Q46" s="875">
        <f t="shared" si="20"/>
        <v>34120</v>
      </c>
      <c r="R46" s="244">
        <f t="shared" si="20"/>
        <v>1027.89912</v>
      </c>
      <c r="S46" s="244">
        <f t="shared" si="20"/>
        <v>34120</v>
      </c>
      <c r="T46" s="244">
        <f t="shared" si="20"/>
        <v>1027.89912</v>
      </c>
      <c r="U46" s="244">
        <f t="shared" si="20"/>
        <v>34120</v>
      </c>
      <c r="V46" s="254">
        <f t="shared" si="20"/>
        <v>1027.89912</v>
      </c>
    </row>
    <row r="47" spans="1:22" s="24" customFormat="1" ht="19.5" customHeight="1">
      <c r="A47" s="112" t="s">
        <v>447</v>
      </c>
      <c r="B47" s="787" t="s">
        <v>965</v>
      </c>
      <c r="C47" s="801">
        <f>SUM(C48:C54)</f>
        <v>567</v>
      </c>
      <c r="D47" s="1522">
        <f aca="true" t="shared" si="21" ref="D47:N47">SUM(D48:D54)</f>
        <v>1237</v>
      </c>
      <c r="E47" s="538">
        <f t="shared" si="21"/>
        <v>43650</v>
      </c>
      <c r="F47" s="321">
        <f t="shared" si="21"/>
        <v>1314.9998999999998</v>
      </c>
      <c r="G47" s="536">
        <f t="shared" si="21"/>
        <v>24160</v>
      </c>
      <c r="H47" s="524">
        <f t="shared" si="21"/>
        <v>727.84416</v>
      </c>
      <c r="I47" s="525">
        <f t="shared" si="21"/>
        <v>24160</v>
      </c>
      <c r="J47" s="525">
        <f t="shared" si="21"/>
        <v>727.84416</v>
      </c>
      <c r="K47" s="525">
        <f t="shared" si="21"/>
        <v>0</v>
      </c>
      <c r="L47" s="525">
        <f t="shared" si="21"/>
        <v>0</v>
      </c>
      <c r="M47" s="525">
        <f t="shared" si="21"/>
        <v>0</v>
      </c>
      <c r="N47" s="525">
        <f t="shared" si="21"/>
        <v>0</v>
      </c>
      <c r="O47" s="525">
        <f>SUM(O48:O54)</f>
        <v>24160</v>
      </c>
      <c r="P47" s="1557">
        <f>SUM(P48:P54)</f>
        <v>727.84416</v>
      </c>
      <c r="Q47" s="524">
        <f>SUM(Q48:Q54)</f>
        <v>24160</v>
      </c>
      <c r="R47" s="525">
        <f>SUM(R48:R54)</f>
        <v>727.84416</v>
      </c>
      <c r="S47" s="525">
        <v>24160</v>
      </c>
      <c r="T47" s="525">
        <f>S47*30.126/1000</f>
        <v>727.84416</v>
      </c>
      <c r="U47" s="525">
        <v>24160</v>
      </c>
      <c r="V47" s="1677">
        <f>U47*30.126/1000</f>
        <v>727.84416</v>
      </c>
    </row>
    <row r="48" spans="1:22" ht="15" customHeight="1">
      <c r="A48" s="122"/>
      <c r="B48" s="807" t="s">
        <v>1133</v>
      </c>
      <c r="C48" s="802">
        <v>87</v>
      </c>
      <c r="D48" s="1523">
        <v>45</v>
      </c>
      <c r="E48" s="35">
        <v>18257</v>
      </c>
      <c r="F48" s="8">
        <f>(E48*30.126)/1000</f>
        <v>550.0103819999999</v>
      </c>
      <c r="G48" s="532">
        <v>10000</v>
      </c>
      <c r="H48" s="512">
        <f>G48*30.126/1000</f>
        <v>301.26</v>
      </c>
      <c r="I48" s="249">
        <v>10000</v>
      </c>
      <c r="J48" s="289">
        <f aca="true" t="shared" si="22" ref="J48:J54">I48*30.126/1000</f>
        <v>301.26</v>
      </c>
      <c r="K48" s="289"/>
      <c r="L48" s="289"/>
      <c r="M48" s="249"/>
      <c r="N48" s="249"/>
      <c r="O48" s="249">
        <v>10000</v>
      </c>
      <c r="P48" s="1552">
        <f>O48*30.126/1000</f>
        <v>301.26</v>
      </c>
      <c r="Q48" s="985">
        <v>10000</v>
      </c>
      <c r="R48" s="289">
        <f>Q48*30.126/1000</f>
        <v>301.26</v>
      </c>
      <c r="S48" s="249"/>
      <c r="T48" s="289"/>
      <c r="U48" s="249"/>
      <c r="V48" s="513"/>
    </row>
    <row r="49" spans="1:22" ht="15" customHeight="1">
      <c r="A49" s="115"/>
      <c r="B49" s="807" t="s">
        <v>1134</v>
      </c>
      <c r="C49" s="802">
        <v>179</v>
      </c>
      <c r="D49" s="1523">
        <v>683</v>
      </c>
      <c r="E49" s="35">
        <v>10522</v>
      </c>
      <c r="F49" s="8">
        <f aca="true" t="shared" si="23" ref="F49:F54">(E49*30.126)/1000</f>
        <v>316.985772</v>
      </c>
      <c r="G49" s="532"/>
      <c r="H49" s="512"/>
      <c r="I49" s="249"/>
      <c r="J49" s="289"/>
      <c r="K49" s="289"/>
      <c r="L49" s="289"/>
      <c r="M49" s="249"/>
      <c r="N49" s="249"/>
      <c r="O49" s="249"/>
      <c r="P49" s="1552"/>
      <c r="Q49" s="985"/>
      <c r="R49" s="289"/>
      <c r="S49" s="249"/>
      <c r="T49" s="289"/>
      <c r="U49" s="249"/>
      <c r="V49" s="513"/>
    </row>
    <row r="50" spans="1:22" ht="15" customHeight="1">
      <c r="A50" s="115"/>
      <c r="B50" s="807" t="s">
        <v>1135</v>
      </c>
      <c r="C50" s="802"/>
      <c r="D50" s="1523">
        <v>48</v>
      </c>
      <c r="E50" s="35">
        <v>7137</v>
      </c>
      <c r="F50" s="8">
        <f t="shared" si="23"/>
        <v>215.009262</v>
      </c>
      <c r="G50" s="446">
        <v>7000</v>
      </c>
      <c r="H50" s="512">
        <f>G50*30.126/1000</f>
        <v>210.882</v>
      </c>
      <c r="I50" s="249">
        <v>7000</v>
      </c>
      <c r="J50" s="289">
        <f t="shared" si="22"/>
        <v>210.882</v>
      </c>
      <c r="K50" s="249"/>
      <c r="L50" s="249"/>
      <c r="M50" s="249"/>
      <c r="N50" s="249"/>
      <c r="O50" s="249">
        <v>7000</v>
      </c>
      <c r="P50" s="1552">
        <f>O50*30.126/1000</f>
        <v>210.882</v>
      </c>
      <c r="Q50" s="985">
        <v>7000</v>
      </c>
      <c r="R50" s="289">
        <f>Q50*30.126/1000</f>
        <v>210.882</v>
      </c>
      <c r="S50" s="249"/>
      <c r="T50" s="289"/>
      <c r="U50" s="249"/>
      <c r="V50" s="513"/>
    </row>
    <row r="51" spans="1:22" ht="15" customHeight="1">
      <c r="A51" s="115"/>
      <c r="B51" s="807" t="s">
        <v>1136</v>
      </c>
      <c r="C51" s="802">
        <v>172</v>
      </c>
      <c r="D51" s="1523"/>
      <c r="E51" s="35">
        <v>6639</v>
      </c>
      <c r="F51" s="8">
        <f t="shared" si="23"/>
        <v>200.00651399999998</v>
      </c>
      <c r="G51" s="446">
        <v>5500</v>
      </c>
      <c r="H51" s="512">
        <f>G51*30.126/1000</f>
        <v>165.693</v>
      </c>
      <c r="I51" s="249">
        <v>5500</v>
      </c>
      <c r="J51" s="289">
        <f t="shared" si="22"/>
        <v>165.693</v>
      </c>
      <c r="K51" s="249"/>
      <c r="L51" s="249"/>
      <c r="M51" s="249"/>
      <c r="N51" s="249"/>
      <c r="O51" s="249">
        <v>5500</v>
      </c>
      <c r="P51" s="1552">
        <f>O51*30.126/1000</f>
        <v>165.693</v>
      </c>
      <c r="Q51" s="985">
        <v>5500</v>
      </c>
      <c r="R51" s="289">
        <f>Q51*30.126/1000</f>
        <v>165.693</v>
      </c>
      <c r="S51" s="249"/>
      <c r="T51" s="289"/>
      <c r="U51" s="249"/>
      <c r="V51" s="513"/>
    </row>
    <row r="52" spans="1:22" ht="15" customHeight="1" hidden="1">
      <c r="A52" s="174"/>
      <c r="B52" s="809" t="s">
        <v>1137</v>
      </c>
      <c r="C52" s="805">
        <v>89</v>
      </c>
      <c r="D52" s="1526">
        <v>282</v>
      </c>
      <c r="E52" s="56"/>
      <c r="F52" s="8"/>
      <c r="G52" s="532"/>
      <c r="H52" s="512"/>
      <c r="I52" s="289"/>
      <c r="J52" s="289">
        <f t="shared" si="22"/>
        <v>0</v>
      </c>
      <c r="K52" s="289"/>
      <c r="L52" s="289"/>
      <c r="M52" s="289"/>
      <c r="N52" s="249"/>
      <c r="O52" s="289"/>
      <c r="P52" s="1552">
        <f>O52*30.126/1000</f>
        <v>0</v>
      </c>
      <c r="Q52" s="90"/>
      <c r="R52" s="289">
        <f>Q52*30.126/1000</f>
        <v>0</v>
      </c>
      <c r="S52" s="289"/>
      <c r="T52" s="289"/>
      <c r="U52" s="289"/>
      <c r="V52" s="513"/>
    </row>
    <row r="53" spans="1:22" ht="15" customHeight="1" hidden="1">
      <c r="A53" s="176"/>
      <c r="B53" s="810" t="s">
        <v>1138</v>
      </c>
      <c r="C53" s="806">
        <v>24</v>
      </c>
      <c r="D53" s="1527"/>
      <c r="E53" s="56"/>
      <c r="F53" s="8"/>
      <c r="G53" s="532"/>
      <c r="H53" s="512"/>
      <c r="I53" s="289"/>
      <c r="J53" s="289">
        <f t="shared" si="22"/>
        <v>0</v>
      </c>
      <c r="K53" s="289"/>
      <c r="L53" s="289"/>
      <c r="M53" s="289"/>
      <c r="N53" s="249"/>
      <c r="O53" s="289"/>
      <c r="P53" s="1552">
        <f>O53*30.126/1000</f>
        <v>0</v>
      </c>
      <c r="Q53" s="90"/>
      <c r="R53" s="289">
        <f>Q53*30.126/1000</f>
        <v>0</v>
      </c>
      <c r="S53" s="289"/>
      <c r="T53" s="289"/>
      <c r="U53" s="289"/>
      <c r="V53" s="513"/>
    </row>
    <row r="54" spans="1:22" ht="15" customHeight="1">
      <c r="A54" s="118"/>
      <c r="B54" s="807" t="s">
        <v>1139</v>
      </c>
      <c r="C54" s="802">
        <v>16</v>
      </c>
      <c r="D54" s="1523">
        <f>150+29</f>
        <v>179</v>
      </c>
      <c r="E54" s="56">
        <v>1095</v>
      </c>
      <c r="F54" s="8">
        <f t="shared" si="23"/>
        <v>32.987970000000004</v>
      </c>
      <c r="G54" s="532">
        <v>1660</v>
      </c>
      <c r="H54" s="512">
        <f>G54*30.126/1000</f>
        <v>50.00916</v>
      </c>
      <c r="I54" s="289">
        <v>1660</v>
      </c>
      <c r="J54" s="289">
        <f t="shared" si="22"/>
        <v>50.00916</v>
      </c>
      <c r="K54" s="289"/>
      <c r="L54" s="289"/>
      <c r="M54" s="289"/>
      <c r="N54" s="249"/>
      <c r="O54" s="289">
        <v>1660</v>
      </c>
      <c r="P54" s="1552">
        <f>O54*30.126/1000</f>
        <v>50.00916</v>
      </c>
      <c r="Q54" s="90">
        <v>1660</v>
      </c>
      <c r="R54" s="289">
        <f>Q54*30.126/1000</f>
        <v>50.00916</v>
      </c>
      <c r="S54" s="289"/>
      <c r="T54" s="289"/>
      <c r="U54" s="289"/>
      <c r="V54" s="513"/>
    </row>
    <row r="55" spans="1:22" s="24" customFormat="1" ht="19.5" customHeight="1">
      <c r="A55" s="112" t="s">
        <v>448</v>
      </c>
      <c r="B55" s="787" t="s">
        <v>967</v>
      </c>
      <c r="C55" s="801">
        <f>SUM(C56:C56)</f>
        <v>0</v>
      </c>
      <c r="D55" s="1522">
        <f aca="true" t="shared" si="24" ref="D55:R55">SUM(D56:D56)</f>
        <v>988</v>
      </c>
      <c r="E55" s="538">
        <f t="shared" si="24"/>
        <v>29874</v>
      </c>
      <c r="F55" s="321">
        <f t="shared" si="24"/>
        <v>899.9841240000001</v>
      </c>
      <c r="G55" s="536">
        <f t="shared" si="24"/>
        <v>9960</v>
      </c>
      <c r="H55" s="524">
        <f t="shared" si="24"/>
        <v>300.05496</v>
      </c>
      <c r="I55" s="525">
        <f t="shared" si="24"/>
        <v>9960</v>
      </c>
      <c r="J55" s="525">
        <f t="shared" si="24"/>
        <v>300.05496</v>
      </c>
      <c r="K55" s="525">
        <f t="shared" si="24"/>
        <v>0</v>
      </c>
      <c r="L55" s="525">
        <f t="shared" si="24"/>
        <v>0</v>
      </c>
      <c r="M55" s="525">
        <f t="shared" si="24"/>
        <v>0</v>
      </c>
      <c r="N55" s="525">
        <f t="shared" si="24"/>
        <v>0</v>
      </c>
      <c r="O55" s="525">
        <f t="shared" si="24"/>
        <v>9960</v>
      </c>
      <c r="P55" s="1557">
        <f t="shared" si="24"/>
        <v>300.05496</v>
      </c>
      <c r="Q55" s="524">
        <f t="shared" si="24"/>
        <v>9960</v>
      </c>
      <c r="R55" s="525">
        <f t="shared" si="24"/>
        <v>300.05496</v>
      </c>
      <c r="S55" s="525">
        <v>9960</v>
      </c>
      <c r="T55" s="525">
        <f>S55*30.126/1000</f>
        <v>300.05496</v>
      </c>
      <c r="U55" s="525">
        <v>9960</v>
      </c>
      <c r="V55" s="1677">
        <f>U55*30.126/1000</f>
        <v>300.05496</v>
      </c>
    </row>
    <row r="56" spans="1:22" ht="15.75" customHeight="1">
      <c r="A56" s="115"/>
      <c r="B56" s="1537" t="s">
        <v>388</v>
      </c>
      <c r="C56" s="1538"/>
      <c r="D56" s="1529">
        <v>988</v>
      </c>
      <c r="E56" s="1226">
        <v>29874</v>
      </c>
      <c r="F56" s="1227">
        <f>(E56*30.126)/1000</f>
        <v>899.9841240000001</v>
      </c>
      <c r="G56" s="611">
        <v>9960</v>
      </c>
      <c r="H56" s="660">
        <f>G56*30.126/1000</f>
        <v>300.05496</v>
      </c>
      <c r="I56" s="1539">
        <v>9960</v>
      </c>
      <c r="J56" s="312">
        <f>I56*30.126/1000</f>
        <v>300.05496</v>
      </c>
      <c r="K56" s="312"/>
      <c r="L56" s="312"/>
      <c r="M56" s="1539"/>
      <c r="N56" s="312"/>
      <c r="O56" s="1539">
        <v>9960</v>
      </c>
      <c r="P56" s="1558">
        <f>O56*30.126/1000</f>
        <v>300.05496</v>
      </c>
      <c r="Q56" s="1566">
        <v>9960</v>
      </c>
      <c r="R56" s="312">
        <f>Q56*30.126/1000</f>
        <v>300.05496</v>
      </c>
      <c r="S56" s="1539"/>
      <c r="T56" s="312"/>
      <c r="U56" s="1539"/>
      <c r="V56" s="313"/>
    </row>
    <row r="57" spans="1:22" s="30" customFormat="1" ht="19.5" customHeight="1">
      <c r="A57" s="1540" t="s">
        <v>742</v>
      </c>
      <c r="B57" s="1541" t="s">
        <v>384</v>
      </c>
      <c r="C57" s="1542">
        <f aca="true" t="shared" si="25" ref="C57:V57">C58</f>
        <v>0</v>
      </c>
      <c r="D57" s="1543">
        <f t="shared" si="25"/>
        <v>0</v>
      </c>
      <c r="E57" s="1544">
        <f t="shared" si="25"/>
        <v>73891</v>
      </c>
      <c r="F57" s="1545">
        <f t="shared" si="25"/>
        <v>2226.0402660000004</v>
      </c>
      <c r="G57" s="1623">
        <f t="shared" si="25"/>
        <v>0</v>
      </c>
      <c r="H57" s="1545">
        <f t="shared" si="25"/>
        <v>0</v>
      </c>
      <c r="I57" s="1545">
        <f t="shared" si="25"/>
        <v>0</v>
      </c>
      <c r="J57" s="1545">
        <f t="shared" si="25"/>
        <v>0</v>
      </c>
      <c r="K57" s="1545">
        <f t="shared" si="25"/>
        <v>0</v>
      </c>
      <c r="L57" s="1545">
        <f t="shared" si="25"/>
        <v>0</v>
      </c>
      <c r="M57" s="1545">
        <f t="shared" si="25"/>
        <v>0</v>
      </c>
      <c r="N57" s="1545">
        <f t="shared" si="25"/>
        <v>0</v>
      </c>
      <c r="O57" s="1545">
        <f t="shared" si="25"/>
        <v>0</v>
      </c>
      <c r="P57" s="1559">
        <f t="shared" si="25"/>
        <v>0</v>
      </c>
      <c r="Q57" s="1567">
        <f t="shared" si="25"/>
        <v>73891</v>
      </c>
      <c r="R57" s="1568">
        <f t="shared" si="25"/>
        <v>2226.0402660000004</v>
      </c>
      <c r="S57" s="1568">
        <f t="shared" si="25"/>
        <v>73891</v>
      </c>
      <c r="T57" s="1568">
        <f t="shared" si="25"/>
        <v>2226.0402660000004</v>
      </c>
      <c r="U57" s="1568">
        <f t="shared" si="25"/>
        <v>73891</v>
      </c>
      <c r="V57" s="1678">
        <f t="shared" si="25"/>
        <v>2226.0402660000004</v>
      </c>
    </row>
    <row r="58" spans="1:22" s="24" customFormat="1" ht="19.5" customHeight="1">
      <c r="A58" s="112" t="s">
        <v>450</v>
      </c>
      <c r="B58" s="51" t="s">
        <v>965</v>
      </c>
      <c r="C58" s="269">
        <f>SUM(C59:C61)</f>
        <v>0</v>
      </c>
      <c r="D58" s="1522">
        <f>SUM(D59:D61)</f>
        <v>0</v>
      </c>
      <c r="E58" s="20">
        <f>SUM(E59:E61)</f>
        <v>73891</v>
      </c>
      <c r="F58" s="18">
        <f>SUM(F59:F61)</f>
        <v>2226.0402660000004</v>
      </c>
      <c r="G58" s="1624">
        <f aca="true" t="shared" si="26" ref="G58:R58">SUM(G59:G61)</f>
        <v>0</v>
      </c>
      <c r="H58" s="18">
        <f t="shared" si="26"/>
        <v>0</v>
      </c>
      <c r="I58" s="18">
        <f t="shared" si="26"/>
        <v>0</v>
      </c>
      <c r="J58" s="18">
        <f t="shared" si="26"/>
        <v>0</v>
      </c>
      <c r="K58" s="18">
        <f t="shared" si="26"/>
        <v>0</v>
      </c>
      <c r="L58" s="18">
        <f t="shared" si="26"/>
        <v>0</v>
      </c>
      <c r="M58" s="18">
        <f t="shared" si="26"/>
        <v>0</v>
      </c>
      <c r="N58" s="18">
        <f t="shared" si="26"/>
        <v>0</v>
      </c>
      <c r="O58" s="18">
        <f t="shared" si="26"/>
        <v>0</v>
      </c>
      <c r="P58" s="456">
        <f t="shared" si="26"/>
        <v>0</v>
      </c>
      <c r="Q58" s="245">
        <f t="shared" si="26"/>
        <v>73891</v>
      </c>
      <c r="R58" s="246">
        <f t="shared" si="26"/>
        <v>2226.0402660000004</v>
      </c>
      <c r="S58" s="246">
        <v>73891</v>
      </c>
      <c r="T58" s="246">
        <f>S58*30.126/1000</f>
        <v>2226.0402660000004</v>
      </c>
      <c r="U58" s="246">
        <v>73891</v>
      </c>
      <c r="V58" s="255">
        <f>U58*30.126/1000</f>
        <v>2226.0402660000004</v>
      </c>
    </row>
    <row r="59" spans="1:22" ht="15" customHeight="1">
      <c r="A59" s="115"/>
      <c r="B59" s="70" t="s">
        <v>390</v>
      </c>
      <c r="C59" s="14"/>
      <c r="D59" s="1528"/>
      <c r="E59" s="35">
        <v>61001</v>
      </c>
      <c r="F59" s="8">
        <f>(E59*30.126)/1000</f>
        <v>1837.7161260000003</v>
      </c>
      <c r="G59" s="782"/>
      <c r="H59" s="8"/>
      <c r="I59" s="35"/>
      <c r="J59" s="9"/>
      <c r="K59" s="9"/>
      <c r="L59" s="8"/>
      <c r="M59" s="35"/>
      <c r="N59" s="139"/>
      <c r="O59" s="35"/>
      <c r="P59" s="382"/>
      <c r="Q59" s="985">
        <v>61001</v>
      </c>
      <c r="R59" s="249">
        <f>(Q59*30.126)/1000</f>
        <v>1837.7161260000003</v>
      </c>
      <c r="S59" s="249"/>
      <c r="T59" s="249"/>
      <c r="U59" s="249"/>
      <c r="V59" s="304"/>
    </row>
    <row r="60" spans="1:22" ht="15" customHeight="1">
      <c r="A60" s="115"/>
      <c r="B60" s="319" t="s">
        <v>575</v>
      </c>
      <c r="C60" s="323"/>
      <c r="D60" s="1529"/>
      <c r="E60" s="40">
        <v>3024</v>
      </c>
      <c r="F60" s="8">
        <f>(E60*30.126)/1000</f>
        <v>91.10102400000001</v>
      </c>
      <c r="G60" s="1531"/>
      <c r="H60" s="31"/>
      <c r="I60" s="40"/>
      <c r="J60" s="33"/>
      <c r="K60" s="33"/>
      <c r="L60" s="31"/>
      <c r="M60" s="40"/>
      <c r="N60" s="308"/>
      <c r="O60" s="40"/>
      <c r="P60" s="1560"/>
      <c r="Q60" s="1569">
        <v>3024</v>
      </c>
      <c r="R60" s="249">
        <f>(Q60*30.126)/1000</f>
        <v>91.10102400000001</v>
      </c>
      <c r="S60" s="312"/>
      <c r="T60" s="312"/>
      <c r="U60" s="312"/>
      <c r="V60" s="313"/>
    </row>
    <row r="61" spans="1:22" ht="15" customHeight="1" thickBot="1">
      <c r="A61" s="124"/>
      <c r="B61" s="163" t="s">
        <v>391</v>
      </c>
      <c r="C61" s="1679"/>
      <c r="D61" s="1680"/>
      <c r="E61" s="1100">
        <v>9866</v>
      </c>
      <c r="F61" s="1299">
        <f>(E61*30.126)/1000</f>
        <v>297.22311600000006</v>
      </c>
      <c r="G61" s="1532"/>
      <c r="H61" s="127"/>
      <c r="I61" s="126"/>
      <c r="J61" s="106"/>
      <c r="K61" s="106"/>
      <c r="L61" s="127"/>
      <c r="M61" s="126"/>
      <c r="N61" s="318"/>
      <c r="O61" s="126"/>
      <c r="P61" s="1561"/>
      <c r="Q61" s="1570">
        <v>9866</v>
      </c>
      <c r="R61" s="280">
        <f>(Q61*30.126)/1000</f>
        <v>297.22311600000006</v>
      </c>
      <c r="S61" s="280"/>
      <c r="T61" s="280"/>
      <c r="U61" s="280"/>
      <c r="V61" s="528"/>
    </row>
    <row r="62" ht="19.5" customHeight="1" thickBot="1"/>
    <row r="63" spans="1:22" s="23" customFormat="1" ht="39.75" customHeight="1" thickTop="1">
      <c r="A63" s="2884"/>
      <c r="B63" s="2885"/>
      <c r="C63" s="360" t="s">
        <v>506</v>
      </c>
      <c r="D63" s="2112" t="s">
        <v>507</v>
      </c>
      <c r="E63" s="2888" t="s">
        <v>844</v>
      </c>
      <c r="F63" s="2889"/>
      <c r="G63" s="473" t="s">
        <v>510</v>
      </c>
      <c r="H63" s="473" t="s">
        <v>510</v>
      </c>
      <c r="I63" s="2883" t="s">
        <v>87</v>
      </c>
      <c r="J63" s="2883"/>
      <c r="K63" s="2871" t="s">
        <v>509</v>
      </c>
      <c r="L63" s="2871"/>
      <c r="M63" s="2871" t="s">
        <v>508</v>
      </c>
      <c r="N63" s="2871"/>
      <c r="O63" s="2881" t="s">
        <v>952</v>
      </c>
      <c r="P63" s="2882"/>
      <c r="Q63" s="2861" t="s">
        <v>183</v>
      </c>
      <c r="R63" s="2863"/>
      <c r="S63" s="2863" t="s">
        <v>725</v>
      </c>
      <c r="T63" s="2863"/>
      <c r="U63" s="2863" t="s">
        <v>726</v>
      </c>
      <c r="V63" s="2864"/>
    </row>
    <row r="64" spans="1:22" s="24" customFormat="1" ht="15" customHeight="1" thickBot="1">
      <c r="A64" s="2886"/>
      <c r="B64" s="2887"/>
      <c r="C64" s="347" t="s">
        <v>966</v>
      </c>
      <c r="D64" s="2304" t="s">
        <v>966</v>
      </c>
      <c r="E64" s="238" t="s">
        <v>435</v>
      </c>
      <c r="F64" s="993" t="s">
        <v>966</v>
      </c>
      <c r="G64" s="346" t="s">
        <v>966</v>
      </c>
      <c r="H64" s="346" t="s">
        <v>966</v>
      </c>
      <c r="I64" s="450" t="s">
        <v>435</v>
      </c>
      <c r="J64" s="450" t="s">
        <v>966</v>
      </c>
      <c r="K64" s="239" t="s">
        <v>435</v>
      </c>
      <c r="L64" s="239" t="s">
        <v>966</v>
      </c>
      <c r="M64" s="239" t="s">
        <v>435</v>
      </c>
      <c r="N64" s="239" t="s">
        <v>966</v>
      </c>
      <c r="O64" s="451" t="s">
        <v>435</v>
      </c>
      <c r="P64" s="765" t="s">
        <v>966</v>
      </c>
      <c r="Q64" s="238" t="s">
        <v>435</v>
      </c>
      <c r="R64" s="239" t="s">
        <v>966</v>
      </c>
      <c r="S64" s="239" t="s">
        <v>435</v>
      </c>
      <c r="T64" s="239" t="s">
        <v>966</v>
      </c>
      <c r="U64" s="239" t="s">
        <v>435</v>
      </c>
      <c r="V64" s="307" t="s">
        <v>966</v>
      </c>
    </row>
    <row r="65" spans="1:22" s="420" customFormat="1" ht="19.5" customHeight="1">
      <c r="A65" s="1776" t="s">
        <v>743</v>
      </c>
      <c r="B65" s="1012" t="s">
        <v>318</v>
      </c>
      <c r="C65" s="1013">
        <f>C68+C74</f>
        <v>0</v>
      </c>
      <c r="D65" s="1507">
        <f aca="true" t="shared" si="27" ref="D65:N65">D68+D74</f>
        <v>0</v>
      </c>
      <c r="E65" s="1015">
        <f t="shared" si="27"/>
        <v>16597</v>
      </c>
      <c r="F65" s="1014">
        <f t="shared" si="27"/>
        <v>500.001222</v>
      </c>
      <c r="G65" s="1015">
        <f t="shared" si="27"/>
        <v>670271</v>
      </c>
      <c r="H65" s="1016">
        <f t="shared" si="27"/>
        <v>20192.584146</v>
      </c>
      <c r="I65" s="1016">
        <f t="shared" si="27"/>
        <v>670271</v>
      </c>
      <c r="J65" s="1016">
        <f t="shared" si="27"/>
        <v>20192.584146</v>
      </c>
      <c r="K65" s="1016">
        <f t="shared" si="27"/>
        <v>0</v>
      </c>
      <c r="L65" s="1016">
        <f t="shared" si="27"/>
        <v>0</v>
      </c>
      <c r="M65" s="1016">
        <f t="shared" si="27"/>
        <v>0</v>
      </c>
      <c r="N65" s="1016">
        <f t="shared" si="27"/>
        <v>0</v>
      </c>
      <c r="O65" s="1016">
        <f aca="true" t="shared" si="28" ref="O65:P67">O68+O74</f>
        <v>670271</v>
      </c>
      <c r="P65" s="1507">
        <f t="shared" si="28"/>
        <v>20192.584146</v>
      </c>
      <c r="Q65" s="1015">
        <f aca="true" t="shared" si="29" ref="Q65:R67">Q68+Q74</f>
        <v>687155</v>
      </c>
      <c r="R65" s="1016">
        <f t="shared" si="29"/>
        <v>20701.23153</v>
      </c>
      <c r="S65" s="1016">
        <f aca="true" t="shared" si="30" ref="S65:V67">S68+S74</f>
        <v>0</v>
      </c>
      <c r="T65" s="1016">
        <f t="shared" si="30"/>
        <v>0</v>
      </c>
      <c r="U65" s="1016">
        <f t="shared" si="30"/>
        <v>0</v>
      </c>
      <c r="V65" s="1017">
        <f t="shared" si="30"/>
        <v>0</v>
      </c>
    </row>
    <row r="66" spans="1:22" s="30" customFormat="1" ht="15" customHeight="1">
      <c r="A66" s="1020"/>
      <c r="B66" s="1021" t="s">
        <v>7</v>
      </c>
      <c r="C66" s="1022">
        <f>C69+C75</f>
        <v>0</v>
      </c>
      <c r="D66" s="1508">
        <f aca="true" t="shared" si="31" ref="D66:N66">D69+D75</f>
        <v>0</v>
      </c>
      <c r="E66" s="1024">
        <f t="shared" si="31"/>
        <v>16597</v>
      </c>
      <c r="F66" s="1023">
        <f t="shared" si="31"/>
        <v>500.001222</v>
      </c>
      <c r="G66" s="1024">
        <f t="shared" si="31"/>
        <v>36474</v>
      </c>
      <c r="H66" s="1025">
        <f t="shared" si="31"/>
        <v>1098.815724</v>
      </c>
      <c r="I66" s="1025">
        <f t="shared" si="31"/>
        <v>36474</v>
      </c>
      <c r="J66" s="1025">
        <f t="shared" si="31"/>
        <v>1098.815724</v>
      </c>
      <c r="K66" s="1025">
        <f t="shared" si="31"/>
        <v>0</v>
      </c>
      <c r="L66" s="1025">
        <f t="shared" si="31"/>
        <v>0</v>
      </c>
      <c r="M66" s="1025">
        <f t="shared" si="31"/>
        <v>0</v>
      </c>
      <c r="N66" s="1025">
        <f t="shared" si="31"/>
        <v>0</v>
      </c>
      <c r="O66" s="1025">
        <f t="shared" si="28"/>
        <v>36474</v>
      </c>
      <c r="P66" s="1508">
        <f t="shared" si="28"/>
        <v>1098.815724</v>
      </c>
      <c r="Q66" s="1024">
        <f t="shared" si="29"/>
        <v>53358</v>
      </c>
      <c r="R66" s="1025">
        <f t="shared" si="29"/>
        <v>1607.463108</v>
      </c>
      <c r="S66" s="1025">
        <f t="shared" si="30"/>
        <v>0</v>
      </c>
      <c r="T66" s="1025">
        <f t="shared" si="30"/>
        <v>0</v>
      </c>
      <c r="U66" s="1025">
        <f t="shared" si="30"/>
        <v>0</v>
      </c>
      <c r="V66" s="1026">
        <f t="shared" si="30"/>
        <v>0</v>
      </c>
    </row>
    <row r="67" spans="1:22" s="49" customFormat="1" ht="15" customHeight="1">
      <c r="A67" s="1029"/>
      <c r="B67" s="1030" t="s">
        <v>8</v>
      </c>
      <c r="C67" s="1031">
        <f>C70+C76</f>
        <v>0</v>
      </c>
      <c r="D67" s="1509">
        <f aca="true" t="shared" si="32" ref="D67:N67">D70+D76</f>
        <v>0</v>
      </c>
      <c r="E67" s="1033">
        <f t="shared" si="32"/>
        <v>0</v>
      </c>
      <c r="F67" s="1032">
        <f t="shared" si="32"/>
        <v>0</v>
      </c>
      <c r="G67" s="1033">
        <f t="shared" si="32"/>
        <v>633797</v>
      </c>
      <c r="H67" s="1034">
        <f t="shared" si="32"/>
        <v>19093.768422</v>
      </c>
      <c r="I67" s="1034">
        <f t="shared" si="32"/>
        <v>633797</v>
      </c>
      <c r="J67" s="1034">
        <f t="shared" si="32"/>
        <v>19093.768422</v>
      </c>
      <c r="K67" s="1034">
        <f t="shared" si="32"/>
        <v>0</v>
      </c>
      <c r="L67" s="1034">
        <f t="shared" si="32"/>
        <v>0</v>
      </c>
      <c r="M67" s="1034">
        <f t="shared" si="32"/>
        <v>0</v>
      </c>
      <c r="N67" s="1034">
        <f t="shared" si="32"/>
        <v>0</v>
      </c>
      <c r="O67" s="1034">
        <f t="shared" si="28"/>
        <v>633797</v>
      </c>
      <c r="P67" s="1509">
        <f t="shared" si="28"/>
        <v>19093.768422</v>
      </c>
      <c r="Q67" s="1033">
        <f t="shared" si="29"/>
        <v>633797</v>
      </c>
      <c r="R67" s="1034">
        <f t="shared" si="29"/>
        <v>19093.768422</v>
      </c>
      <c r="S67" s="1034">
        <f t="shared" si="30"/>
        <v>0</v>
      </c>
      <c r="T67" s="1034">
        <f t="shared" si="30"/>
        <v>0</v>
      </c>
      <c r="U67" s="1034">
        <f t="shared" si="30"/>
        <v>0</v>
      </c>
      <c r="V67" s="1035">
        <f t="shared" si="30"/>
        <v>0</v>
      </c>
    </row>
    <row r="68" spans="1:22" s="49" customFormat="1" ht="15" customHeight="1">
      <c r="A68" s="1038"/>
      <c r="B68" s="1039" t="s">
        <v>965</v>
      </c>
      <c r="C68" s="1040">
        <f>C71</f>
        <v>0</v>
      </c>
      <c r="D68" s="1510">
        <f aca="true" t="shared" si="33" ref="D68:N68">D71</f>
        <v>0</v>
      </c>
      <c r="E68" s="1042">
        <f t="shared" si="33"/>
        <v>0</v>
      </c>
      <c r="F68" s="1041">
        <f t="shared" si="33"/>
        <v>0</v>
      </c>
      <c r="G68" s="1042">
        <f t="shared" si="33"/>
        <v>3116</v>
      </c>
      <c r="H68" s="1043">
        <f t="shared" si="33"/>
        <v>93.87261600000001</v>
      </c>
      <c r="I68" s="1043">
        <f t="shared" si="33"/>
        <v>3116</v>
      </c>
      <c r="J68" s="1043">
        <f t="shared" si="33"/>
        <v>93.87261600000001</v>
      </c>
      <c r="K68" s="1043">
        <f t="shared" si="33"/>
        <v>0</v>
      </c>
      <c r="L68" s="1043">
        <f t="shared" si="33"/>
        <v>0</v>
      </c>
      <c r="M68" s="1043">
        <f t="shared" si="33"/>
        <v>0</v>
      </c>
      <c r="N68" s="1043">
        <f t="shared" si="33"/>
        <v>0</v>
      </c>
      <c r="O68" s="1043">
        <f aca="true" t="shared" si="34" ref="O68:P70">O71</f>
        <v>3116</v>
      </c>
      <c r="P68" s="1510">
        <f t="shared" si="34"/>
        <v>93.87261600000001</v>
      </c>
      <c r="Q68" s="1042">
        <f aca="true" t="shared" si="35" ref="Q68:R70">Q71</f>
        <v>20000</v>
      </c>
      <c r="R68" s="1043">
        <f t="shared" si="35"/>
        <v>602.52</v>
      </c>
      <c r="S68" s="1043">
        <f aca="true" t="shared" si="36" ref="S68:V70">S71</f>
        <v>0</v>
      </c>
      <c r="T68" s="1043">
        <f t="shared" si="36"/>
        <v>0</v>
      </c>
      <c r="U68" s="1043">
        <f t="shared" si="36"/>
        <v>0</v>
      </c>
      <c r="V68" s="1044">
        <f t="shared" si="36"/>
        <v>0</v>
      </c>
    </row>
    <row r="69" spans="1:22" s="30" customFormat="1" ht="15" customHeight="1">
      <c r="A69" s="1020"/>
      <c r="B69" s="1021" t="s">
        <v>7</v>
      </c>
      <c r="C69" s="1022">
        <f>C72</f>
        <v>0</v>
      </c>
      <c r="D69" s="1508">
        <f aca="true" t="shared" si="37" ref="D69:N69">D72</f>
        <v>0</v>
      </c>
      <c r="E69" s="1024">
        <f t="shared" si="37"/>
        <v>0</v>
      </c>
      <c r="F69" s="1023">
        <f t="shared" si="37"/>
        <v>0</v>
      </c>
      <c r="G69" s="1024">
        <f t="shared" si="37"/>
        <v>3116</v>
      </c>
      <c r="H69" s="1025">
        <f t="shared" si="37"/>
        <v>93.87261600000001</v>
      </c>
      <c r="I69" s="1025">
        <f t="shared" si="37"/>
        <v>3116</v>
      </c>
      <c r="J69" s="1025">
        <f t="shared" si="37"/>
        <v>93.87261600000001</v>
      </c>
      <c r="K69" s="1025">
        <f t="shared" si="37"/>
        <v>0</v>
      </c>
      <c r="L69" s="1025">
        <f t="shared" si="37"/>
        <v>0</v>
      </c>
      <c r="M69" s="1025">
        <f t="shared" si="37"/>
        <v>0</v>
      </c>
      <c r="N69" s="1025">
        <f t="shared" si="37"/>
        <v>0</v>
      </c>
      <c r="O69" s="1025">
        <f t="shared" si="34"/>
        <v>3116</v>
      </c>
      <c r="P69" s="1508">
        <f t="shared" si="34"/>
        <v>93.87261600000001</v>
      </c>
      <c r="Q69" s="1024">
        <f t="shared" si="35"/>
        <v>20000</v>
      </c>
      <c r="R69" s="1025">
        <f t="shared" si="35"/>
        <v>602.52</v>
      </c>
      <c r="S69" s="1025">
        <f t="shared" si="36"/>
        <v>0</v>
      </c>
      <c r="T69" s="1025">
        <f t="shared" si="36"/>
        <v>0</v>
      </c>
      <c r="U69" s="1025">
        <f t="shared" si="36"/>
        <v>0</v>
      </c>
      <c r="V69" s="1026">
        <f t="shared" si="36"/>
        <v>0</v>
      </c>
    </row>
    <row r="70" spans="1:22" s="49" customFormat="1" ht="15" customHeight="1">
      <c r="A70" s="1047"/>
      <c r="B70" s="1048" t="s">
        <v>8</v>
      </c>
      <c r="C70" s="1049">
        <f>C73</f>
        <v>0</v>
      </c>
      <c r="D70" s="1511">
        <f aca="true" t="shared" si="38" ref="D70:N70">D73</f>
        <v>0</v>
      </c>
      <c r="E70" s="1051">
        <f t="shared" si="38"/>
        <v>0</v>
      </c>
      <c r="F70" s="1050">
        <f t="shared" si="38"/>
        <v>0</v>
      </c>
      <c r="G70" s="1051">
        <f t="shared" si="38"/>
        <v>0</v>
      </c>
      <c r="H70" s="1052">
        <f t="shared" si="38"/>
        <v>0</v>
      </c>
      <c r="I70" s="1052">
        <f t="shared" si="38"/>
        <v>0</v>
      </c>
      <c r="J70" s="1052">
        <f t="shared" si="38"/>
        <v>0</v>
      </c>
      <c r="K70" s="1052">
        <f t="shared" si="38"/>
        <v>0</v>
      </c>
      <c r="L70" s="1052">
        <f t="shared" si="38"/>
        <v>0</v>
      </c>
      <c r="M70" s="1052">
        <f t="shared" si="38"/>
        <v>0</v>
      </c>
      <c r="N70" s="1052">
        <f t="shared" si="38"/>
        <v>0</v>
      </c>
      <c r="O70" s="1052">
        <f t="shared" si="34"/>
        <v>0</v>
      </c>
      <c r="P70" s="1511">
        <f t="shared" si="34"/>
        <v>0</v>
      </c>
      <c r="Q70" s="1051">
        <f t="shared" si="35"/>
        <v>0</v>
      </c>
      <c r="R70" s="1052">
        <f t="shared" si="35"/>
        <v>0</v>
      </c>
      <c r="S70" s="1052">
        <f t="shared" si="36"/>
        <v>0</v>
      </c>
      <c r="T70" s="1052">
        <f t="shared" si="36"/>
        <v>0</v>
      </c>
      <c r="U70" s="1052">
        <f t="shared" si="36"/>
        <v>0</v>
      </c>
      <c r="V70" s="1053">
        <f t="shared" si="36"/>
        <v>0</v>
      </c>
    </row>
    <row r="71" spans="1:22" s="24" customFormat="1" ht="15" customHeight="1">
      <c r="A71" s="202"/>
      <c r="B71" s="1056" t="s">
        <v>1238</v>
      </c>
      <c r="C71" s="1057">
        <f aca="true" t="shared" si="39" ref="C71:N71">SUM(C72:C73)</f>
        <v>0</v>
      </c>
      <c r="D71" s="1681">
        <f t="shared" si="39"/>
        <v>0</v>
      </c>
      <c r="E71" s="1059">
        <f t="shared" si="39"/>
        <v>0</v>
      </c>
      <c r="F71" s="1058">
        <f t="shared" si="39"/>
        <v>0</v>
      </c>
      <c r="G71" s="1059">
        <f t="shared" si="39"/>
        <v>3116</v>
      </c>
      <c r="H71" s="1060">
        <f t="shared" si="39"/>
        <v>93.87261600000001</v>
      </c>
      <c r="I71" s="1060">
        <f t="shared" si="39"/>
        <v>3116</v>
      </c>
      <c r="J71" s="1060">
        <f t="shared" si="39"/>
        <v>93.87261600000001</v>
      </c>
      <c r="K71" s="1060">
        <f t="shared" si="39"/>
        <v>0</v>
      </c>
      <c r="L71" s="1060">
        <f t="shared" si="39"/>
        <v>0</v>
      </c>
      <c r="M71" s="1060">
        <f t="shared" si="39"/>
        <v>0</v>
      </c>
      <c r="N71" s="1060">
        <f t="shared" si="39"/>
        <v>0</v>
      </c>
      <c r="O71" s="1060">
        <f aca="true" t="shared" si="40" ref="O71:V71">SUM(O72:O73)</f>
        <v>3116</v>
      </c>
      <c r="P71" s="1681">
        <f t="shared" si="40"/>
        <v>93.87261600000001</v>
      </c>
      <c r="Q71" s="1059">
        <f t="shared" si="40"/>
        <v>20000</v>
      </c>
      <c r="R71" s="1060">
        <f t="shared" si="40"/>
        <v>602.52</v>
      </c>
      <c r="S71" s="1060">
        <f t="shared" si="40"/>
        <v>0</v>
      </c>
      <c r="T71" s="1060">
        <f t="shared" si="40"/>
        <v>0</v>
      </c>
      <c r="U71" s="1060">
        <f t="shared" si="40"/>
        <v>0</v>
      </c>
      <c r="V71" s="1061">
        <f t="shared" si="40"/>
        <v>0</v>
      </c>
    </row>
    <row r="72" spans="1:22" s="30" customFormat="1" ht="15" customHeight="1">
      <c r="A72" s="192"/>
      <c r="B72" s="834" t="s">
        <v>340</v>
      </c>
      <c r="C72" s="783"/>
      <c r="D72" s="458"/>
      <c r="E72" s="663"/>
      <c r="F72" s="74"/>
      <c r="G72" s="663">
        <v>3116</v>
      </c>
      <c r="H72" s="77">
        <f>G72*30.126/1000</f>
        <v>93.87261600000001</v>
      </c>
      <c r="I72" s="73">
        <v>3116</v>
      </c>
      <c r="J72" s="77">
        <f>I72*30.126/1000</f>
        <v>93.87261600000001</v>
      </c>
      <c r="K72" s="73"/>
      <c r="L72" s="73"/>
      <c r="M72" s="73"/>
      <c r="N72" s="73"/>
      <c r="O72" s="73">
        <v>3116</v>
      </c>
      <c r="P72" s="1682">
        <f>O72*30.126/1000</f>
        <v>93.87261600000001</v>
      </c>
      <c r="Q72" s="663">
        <v>20000</v>
      </c>
      <c r="R72" s="77">
        <f>Q72*30.126/1000</f>
        <v>602.52</v>
      </c>
      <c r="S72" s="73"/>
      <c r="T72" s="77"/>
      <c r="U72" s="73"/>
      <c r="V72" s="1063"/>
    </row>
    <row r="73" spans="1:22" s="49" customFormat="1" ht="15" customHeight="1">
      <c r="A73" s="1064"/>
      <c r="B73" s="1065" t="s">
        <v>341</v>
      </c>
      <c r="C73" s="1066"/>
      <c r="D73" s="1067"/>
      <c r="E73" s="1068"/>
      <c r="F73" s="1067"/>
      <c r="G73" s="1068">
        <v>0</v>
      </c>
      <c r="H73" s="1069">
        <f>G73*30.126/1000</f>
        <v>0</v>
      </c>
      <c r="I73" s="1070">
        <v>0</v>
      </c>
      <c r="J73" s="1069">
        <f>I73*30.126/1000</f>
        <v>0</v>
      </c>
      <c r="K73" s="1070"/>
      <c r="L73" s="1070"/>
      <c r="M73" s="1070"/>
      <c r="N73" s="1070"/>
      <c r="O73" s="1070">
        <v>0</v>
      </c>
      <c r="P73" s="1683">
        <f>O73*30.126/1000</f>
        <v>0</v>
      </c>
      <c r="Q73" s="1068">
        <v>0</v>
      </c>
      <c r="R73" s="1069">
        <f>Q73*30.126/1000</f>
        <v>0</v>
      </c>
      <c r="S73" s="1070"/>
      <c r="T73" s="1069"/>
      <c r="U73" s="1070"/>
      <c r="V73" s="1071"/>
    </row>
    <row r="74" spans="1:22" s="49" customFormat="1" ht="15" customHeight="1">
      <c r="A74" s="1038"/>
      <c r="B74" s="1039" t="s">
        <v>967</v>
      </c>
      <c r="C74" s="1040">
        <f>C77</f>
        <v>0</v>
      </c>
      <c r="D74" s="1041">
        <f aca="true" t="shared" si="41" ref="D74:N74">D77</f>
        <v>0</v>
      </c>
      <c r="E74" s="1042">
        <f t="shared" si="41"/>
        <v>16597</v>
      </c>
      <c r="F74" s="1041">
        <f t="shared" si="41"/>
        <v>500.001222</v>
      </c>
      <c r="G74" s="1042">
        <f t="shared" si="41"/>
        <v>667155</v>
      </c>
      <c r="H74" s="1043">
        <f t="shared" si="41"/>
        <v>20098.71153</v>
      </c>
      <c r="I74" s="1043">
        <f t="shared" si="41"/>
        <v>667155</v>
      </c>
      <c r="J74" s="1043">
        <f t="shared" si="41"/>
        <v>20098.71153</v>
      </c>
      <c r="K74" s="1043">
        <f t="shared" si="41"/>
        <v>0</v>
      </c>
      <c r="L74" s="1043">
        <f t="shared" si="41"/>
        <v>0</v>
      </c>
      <c r="M74" s="1043">
        <f t="shared" si="41"/>
        <v>0</v>
      </c>
      <c r="N74" s="1043">
        <f t="shared" si="41"/>
        <v>0</v>
      </c>
      <c r="O74" s="1043">
        <f aca="true" t="shared" si="42" ref="O74:P76">O77</f>
        <v>667155</v>
      </c>
      <c r="P74" s="1510">
        <f t="shared" si="42"/>
        <v>20098.71153</v>
      </c>
      <c r="Q74" s="1042">
        <f aca="true" t="shared" si="43" ref="Q74:R76">Q77</f>
        <v>667155</v>
      </c>
      <c r="R74" s="1043">
        <f t="shared" si="43"/>
        <v>20098.71153</v>
      </c>
      <c r="S74" s="1043">
        <f aca="true" t="shared" si="44" ref="S74:V76">S77</f>
        <v>0</v>
      </c>
      <c r="T74" s="1043">
        <f t="shared" si="44"/>
        <v>0</v>
      </c>
      <c r="U74" s="1043">
        <f t="shared" si="44"/>
        <v>0</v>
      </c>
      <c r="V74" s="1044">
        <f t="shared" si="44"/>
        <v>0</v>
      </c>
    </row>
    <row r="75" spans="1:22" s="30" customFormat="1" ht="15" customHeight="1">
      <c r="A75" s="1020"/>
      <c r="B75" s="1021" t="s">
        <v>7</v>
      </c>
      <c r="C75" s="1022">
        <f>C78</f>
        <v>0</v>
      </c>
      <c r="D75" s="1023">
        <f aca="true" t="shared" si="45" ref="D75:N75">D78</f>
        <v>0</v>
      </c>
      <c r="E75" s="1024">
        <f t="shared" si="45"/>
        <v>16597</v>
      </c>
      <c r="F75" s="1023">
        <f t="shared" si="45"/>
        <v>500.001222</v>
      </c>
      <c r="G75" s="1024">
        <f t="shared" si="45"/>
        <v>33358</v>
      </c>
      <c r="H75" s="1025">
        <f t="shared" si="45"/>
        <v>1004.943108</v>
      </c>
      <c r="I75" s="1025">
        <f t="shared" si="45"/>
        <v>33358</v>
      </c>
      <c r="J75" s="1025">
        <f t="shared" si="45"/>
        <v>1004.943108</v>
      </c>
      <c r="K75" s="1025">
        <f t="shared" si="45"/>
        <v>0</v>
      </c>
      <c r="L75" s="1025">
        <f t="shared" si="45"/>
        <v>0</v>
      </c>
      <c r="M75" s="1025">
        <f t="shared" si="45"/>
        <v>0</v>
      </c>
      <c r="N75" s="1025">
        <f t="shared" si="45"/>
        <v>0</v>
      </c>
      <c r="O75" s="1025">
        <f t="shared" si="42"/>
        <v>33358</v>
      </c>
      <c r="P75" s="1508">
        <f t="shared" si="42"/>
        <v>1004.943108</v>
      </c>
      <c r="Q75" s="1024">
        <f t="shared" si="43"/>
        <v>33358</v>
      </c>
      <c r="R75" s="1025">
        <f t="shared" si="43"/>
        <v>1004.943108</v>
      </c>
      <c r="S75" s="1025">
        <f t="shared" si="44"/>
        <v>0</v>
      </c>
      <c r="T75" s="1025">
        <f t="shared" si="44"/>
        <v>0</v>
      </c>
      <c r="U75" s="1025">
        <f t="shared" si="44"/>
        <v>0</v>
      </c>
      <c r="V75" s="1026">
        <f t="shared" si="44"/>
        <v>0</v>
      </c>
    </row>
    <row r="76" spans="1:22" s="49" customFormat="1" ht="15" customHeight="1">
      <c r="A76" s="1047"/>
      <c r="B76" s="1048" t="s">
        <v>8</v>
      </c>
      <c r="C76" s="1049">
        <f>C79</f>
        <v>0</v>
      </c>
      <c r="D76" s="1050">
        <f aca="true" t="shared" si="46" ref="D76:N76">D79</f>
        <v>0</v>
      </c>
      <c r="E76" s="1051">
        <f t="shared" si="46"/>
        <v>0</v>
      </c>
      <c r="F76" s="1050">
        <f t="shared" si="46"/>
        <v>0</v>
      </c>
      <c r="G76" s="1051">
        <f t="shared" si="46"/>
        <v>633797</v>
      </c>
      <c r="H76" s="1052">
        <f t="shared" si="46"/>
        <v>19093.768422</v>
      </c>
      <c r="I76" s="1052">
        <f t="shared" si="46"/>
        <v>633797</v>
      </c>
      <c r="J76" s="1052">
        <f t="shared" si="46"/>
        <v>19093.768422</v>
      </c>
      <c r="K76" s="1052">
        <f t="shared" si="46"/>
        <v>0</v>
      </c>
      <c r="L76" s="1052">
        <f t="shared" si="46"/>
        <v>0</v>
      </c>
      <c r="M76" s="1052">
        <f t="shared" si="46"/>
        <v>0</v>
      </c>
      <c r="N76" s="1052">
        <f t="shared" si="46"/>
        <v>0</v>
      </c>
      <c r="O76" s="1052">
        <f t="shared" si="42"/>
        <v>633797</v>
      </c>
      <c r="P76" s="1511">
        <f t="shared" si="42"/>
        <v>19093.768422</v>
      </c>
      <c r="Q76" s="1051">
        <f t="shared" si="43"/>
        <v>633797</v>
      </c>
      <c r="R76" s="1052">
        <f t="shared" si="43"/>
        <v>19093.768422</v>
      </c>
      <c r="S76" s="1052">
        <f t="shared" si="44"/>
        <v>0</v>
      </c>
      <c r="T76" s="1052">
        <f t="shared" si="44"/>
        <v>0</v>
      </c>
      <c r="U76" s="1052">
        <f t="shared" si="44"/>
        <v>0</v>
      </c>
      <c r="V76" s="1053">
        <f t="shared" si="44"/>
        <v>0</v>
      </c>
    </row>
    <row r="77" spans="1:22" s="24" customFormat="1" ht="15" customHeight="1">
      <c r="A77" s="202"/>
      <c r="B77" s="1056" t="s">
        <v>90</v>
      </c>
      <c r="C77" s="1057">
        <f>SUM(C78:C79)</f>
        <v>0</v>
      </c>
      <c r="D77" s="1058">
        <f>SUM(D78:D79)</f>
        <v>0</v>
      </c>
      <c r="E77" s="1059">
        <f>SUM(E78:E79)</f>
        <v>16597</v>
      </c>
      <c r="F77" s="1058">
        <f aca="true" t="shared" si="47" ref="F77:N77">SUM(F78:F79)</f>
        <v>500.001222</v>
      </c>
      <c r="G77" s="1059">
        <f t="shared" si="47"/>
        <v>667155</v>
      </c>
      <c r="H77" s="1060">
        <f t="shared" si="47"/>
        <v>20098.71153</v>
      </c>
      <c r="I77" s="1060">
        <f t="shared" si="47"/>
        <v>667155</v>
      </c>
      <c r="J77" s="1060">
        <f t="shared" si="47"/>
        <v>20098.71153</v>
      </c>
      <c r="K77" s="1060">
        <f t="shared" si="47"/>
        <v>0</v>
      </c>
      <c r="L77" s="1060">
        <f t="shared" si="47"/>
        <v>0</v>
      </c>
      <c r="M77" s="1060">
        <f t="shared" si="47"/>
        <v>0</v>
      </c>
      <c r="N77" s="1060">
        <f t="shared" si="47"/>
        <v>0</v>
      </c>
      <c r="O77" s="1060">
        <f aca="true" t="shared" si="48" ref="O77:V77">SUM(O78:O79)</f>
        <v>667155</v>
      </c>
      <c r="P77" s="1681">
        <f t="shared" si="48"/>
        <v>20098.71153</v>
      </c>
      <c r="Q77" s="1059">
        <f t="shared" si="48"/>
        <v>667155</v>
      </c>
      <c r="R77" s="1060">
        <f t="shared" si="48"/>
        <v>20098.71153</v>
      </c>
      <c r="S77" s="1060">
        <f t="shared" si="48"/>
        <v>0</v>
      </c>
      <c r="T77" s="1060">
        <f t="shared" si="48"/>
        <v>0</v>
      </c>
      <c r="U77" s="1060">
        <f t="shared" si="48"/>
        <v>0</v>
      </c>
      <c r="V77" s="1061">
        <f t="shared" si="48"/>
        <v>0</v>
      </c>
    </row>
    <row r="78" spans="1:22" s="30" customFormat="1" ht="15" customHeight="1">
      <c r="A78" s="192"/>
      <c r="B78" s="834" t="s">
        <v>340</v>
      </c>
      <c r="C78" s="783"/>
      <c r="D78" s="74"/>
      <c r="E78" s="1010">
        <v>16597</v>
      </c>
      <c r="F78" s="69">
        <f>E78*30.126/1000</f>
        <v>500.001222</v>
      </c>
      <c r="G78" s="663">
        <v>33358</v>
      </c>
      <c r="H78" s="77">
        <f>G78*30.126/1000</f>
        <v>1004.943108</v>
      </c>
      <c r="I78" s="73">
        <v>33358</v>
      </c>
      <c r="J78" s="77">
        <f>I78*30.126/1000</f>
        <v>1004.943108</v>
      </c>
      <c r="K78" s="73"/>
      <c r="L78" s="73"/>
      <c r="M78" s="73"/>
      <c r="N78" s="73"/>
      <c r="O78" s="73">
        <v>33358</v>
      </c>
      <c r="P78" s="1682">
        <f>O78*30.126/1000</f>
        <v>1004.943108</v>
      </c>
      <c r="Q78" s="663">
        <v>33358</v>
      </c>
      <c r="R78" s="77">
        <f>Q78*30.126/1000</f>
        <v>1004.943108</v>
      </c>
      <c r="S78" s="73"/>
      <c r="T78" s="77"/>
      <c r="U78" s="73"/>
      <c r="V78" s="1063"/>
    </row>
    <row r="79" spans="1:22" s="49" customFormat="1" ht="15" customHeight="1" thickBot="1">
      <c r="A79" s="1072"/>
      <c r="B79" s="1073" t="s">
        <v>341</v>
      </c>
      <c r="C79" s="1074"/>
      <c r="D79" s="1075"/>
      <c r="E79" s="1076"/>
      <c r="F79" s="1077"/>
      <c r="G79" s="1078">
        <v>633797</v>
      </c>
      <c r="H79" s="1079">
        <f>G79*30.126/1000</f>
        <v>19093.768422</v>
      </c>
      <c r="I79" s="1080">
        <v>633797</v>
      </c>
      <c r="J79" s="1079">
        <f>I79*30.126/1000</f>
        <v>19093.768422</v>
      </c>
      <c r="K79" s="1080"/>
      <c r="L79" s="1080"/>
      <c r="M79" s="1080"/>
      <c r="N79" s="1080"/>
      <c r="O79" s="1080">
        <v>633797</v>
      </c>
      <c r="P79" s="1684">
        <f>O79*30.126/1000</f>
        <v>19093.768422</v>
      </c>
      <c r="Q79" s="1078">
        <v>633797</v>
      </c>
      <c r="R79" s="1079">
        <f>Q79*30.126/1000</f>
        <v>19093.768422</v>
      </c>
      <c r="S79" s="1080"/>
      <c r="T79" s="1079"/>
      <c r="U79" s="1080"/>
      <c r="V79" s="1081"/>
    </row>
    <row r="80" ht="19.5" customHeight="1" thickBot="1"/>
    <row r="81" spans="1:22" s="23" customFormat="1" ht="39.75" customHeight="1" thickTop="1">
      <c r="A81" s="2872"/>
      <c r="B81" s="2873"/>
      <c r="C81" s="539" t="s">
        <v>506</v>
      </c>
      <c r="D81" s="348" t="s">
        <v>507</v>
      </c>
      <c r="E81" s="2855" t="s">
        <v>844</v>
      </c>
      <c r="F81" s="2852"/>
      <c r="G81" s="529" t="s">
        <v>845</v>
      </c>
      <c r="H81" s="473" t="s">
        <v>510</v>
      </c>
      <c r="I81" s="2883" t="s">
        <v>87</v>
      </c>
      <c r="J81" s="2883"/>
      <c r="K81" s="2871" t="s">
        <v>509</v>
      </c>
      <c r="L81" s="2871"/>
      <c r="M81" s="2871" t="s">
        <v>508</v>
      </c>
      <c r="N81" s="2871"/>
      <c r="O81" s="2881" t="s">
        <v>952</v>
      </c>
      <c r="P81" s="2882"/>
      <c r="Q81" s="2876" t="s">
        <v>183</v>
      </c>
      <c r="R81" s="2877"/>
      <c r="S81" s="2880" t="s">
        <v>725</v>
      </c>
      <c r="T81" s="2877"/>
      <c r="U81" s="2877" t="s">
        <v>726</v>
      </c>
      <c r="V81" s="2879"/>
    </row>
    <row r="82" spans="1:22" s="24" customFormat="1" ht="15" customHeight="1" thickBot="1">
      <c r="A82" s="2856"/>
      <c r="B82" s="2854"/>
      <c r="C82" s="540" t="s">
        <v>966</v>
      </c>
      <c r="D82" s="349" t="s">
        <v>966</v>
      </c>
      <c r="E82" s="240" t="s">
        <v>435</v>
      </c>
      <c r="F82" s="981" t="s">
        <v>966</v>
      </c>
      <c r="G82" s="461" t="s">
        <v>966</v>
      </c>
      <c r="H82" s="346" t="s">
        <v>966</v>
      </c>
      <c r="I82" s="450" t="s">
        <v>435</v>
      </c>
      <c r="J82" s="450" t="s">
        <v>966</v>
      </c>
      <c r="K82" s="239" t="s">
        <v>435</v>
      </c>
      <c r="L82" s="239" t="s">
        <v>966</v>
      </c>
      <c r="M82" s="239" t="s">
        <v>435</v>
      </c>
      <c r="N82" s="239" t="s">
        <v>966</v>
      </c>
      <c r="O82" s="451" t="s">
        <v>435</v>
      </c>
      <c r="P82" s="765" t="s">
        <v>966</v>
      </c>
      <c r="Q82" s="238" t="s">
        <v>435</v>
      </c>
      <c r="R82" s="239" t="s">
        <v>966</v>
      </c>
      <c r="S82" s="2117" t="s">
        <v>435</v>
      </c>
      <c r="T82" s="239" t="s">
        <v>966</v>
      </c>
      <c r="U82" s="239" t="s">
        <v>435</v>
      </c>
      <c r="V82" s="307" t="s">
        <v>966</v>
      </c>
    </row>
    <row r="83" spans="1:22" s="23" customFormat="1" ht="19.5" customHeight="1">
      <c r="A83" s="1666" t="s">
        <v>348</v>
      </c>
      <c r="B83" s="1667" t="s">
        <v>10</v>
      </c>
      <c r="C83" s="541">
        <f aca="true" t="shared" si="49" ref="C83:R83">C4+C65</f>
        <v>30924</v>
      </c>
      <c r="D83" s="488">
        <f t="shared" si="49"/>
        <v>43355</v>
      </c>
      <c r="E83" s="555">
        <f t="shared" si="49"/>
        <v>1856198</v>
      </c>
      <c r="F83" s="488">
        <f t="shared" si="49"/>
        <v>55919.82094800001</v>
      </c>
      <c r="G83" s="493">
        <f t="shared" si="49"/>
        <v>2443696</v>
      </c>
      <c r="H83" s="546">
        <f t="shared" si="49"/>
        <v>74618.477636</v>
      </c>
      <c r="I83" s="422">
        <f t="shared" si="49"/>
        <v>2227550</v>
      </c>
      <c r="J83" s="422">
        <f t="shared" si="49"/>
        <v>67107.147484</v>
      </c>
      <c r="K83" s="422">
        <f t="shared" si="49"/>
        <v>0</v>
      </c>
      <c r="L83" s="422">
        <f t="shared" si="49"/>
        <v>0</v>
      </c>
      <c r="M83" s="422">
        <f t="shared" si="49"/>
        <v>0</v>
      </c>
      <c r="N83" s="422">
        <f t="shared" si="49"/>
        <v>0</v>
      </c>
      <c r="O83" s="422">
        <f t="shared" si="49"/>
        <v>2169638</v>
      </c>
      <c r="P83" s="1685">
        <f t="shared" si="49"/>
        <v>65362.490572</v>
      </c>
      <c r="Q83" s="1621">
        <f t="shared" si="49"/>
        <v>2573426</v>
      </c>
      <c r="R83" s="422">
        <f t="shared" si="49"/>
        <v>77527.00786</v>
      </c>
      <c r="S83" s="821">
        <f>S4+S65</f>
        <v>1856271</v>
      </c>
      <c r="T83" s="422">
        <f>T4+T65</f>
        <v>55922.02014600001</v>
      </c>
      <c r="U83" s="422">
        <f>U4+U65</f>
        <v>1856271</v>
      </c>
      <c r="V83" s="547">
        <f>V4+V65</f>
        <v>55922.02014600001</v>
      </c>
    </row>
    <row r="84" spans="1:22" s="30" customFormat="1" ht="15" customHeight="1">
      <c r="A84" s="1668"/>
      <c r="B84" s="1669" t="s">
        <v>965</v>
      </c>
      <c r="C84" s="542">
        <f aca="true" t="shared" si="50" ref="C84:R84">C6+C47+C58+C68</f>
        <v>29488</v>
      </c>
      <c r="D84" s="490">
        <f t="shared" si="50"/>
        <v>33217</v>
      </c>
      <c r="E84" s="556">
        <f t="shared" si="50"/>
        <v>1123150</v>
      </c>
      <c r="F84" s="490">
        <f t="shared" si="50"/>
        <v>33836.01690000001</v>
      </c>
      <c r="G84" s="494">
        <f t="shared" si="50"/>
        <v>1169149</v>
      </c>
      <c r="H84" s="548">
        <f t="shared" si="50"/>
        <v>36221.827514000004</v>
      </c>
      <c r="I84" s="424">
        <f t="shared" si="50"/>
        <v>985201</v>
      </c>
      <c r="J84" s="424">
        <f t="shared" si="50"/>
        <v>29680.165326000002</v>
      </c>
      <c r="K84" s="424">
        <f t="shared" si="50"/>
        <v>0</v>
      </c>
      <c r="L84" s="424">
        <f t="shared" si="50"/>
        <v>0</v>
      </c>
      <c r="M84" s="424">
        <f t="shared" si="50"/>
        <v>0</v>
      </c>
      <c r="N84" s="424">
        <f t="shared" si="50"/>
        <v>0</v>
      </c>
      <c r="O84" s="424">
        <f t="shared" si="50"/>
        <v>927289</v>
      </c>
      <c r="P84" s="1686">
        <f t="shared" si="50"/>
        <v>27935.508414000004</v>
      </c>
      <c r="Q84" s="1622">
        <f t="shared" si="50"/>
        <v>1058768</v>
      </c>
      <c r="R84" s="424">
        <f t="shared" si="50"/>
        <v>31896.444768</v>
      </c>
      <c r="S84" s="822">
        <f>S6+S47+S58+S68</f>
        <v>1038768</v>
      </c>
      <c r="T84" s="424">
        <f>T6+T47+T58+T68</f>
        <v>31293.924768</v>
      </c>
      <c r="U84" s="424">
        <f>U6+U47+U58+U68</f>
        <v>1038768</v>
      </c>
      <c r="V84" s="549">
        <f>V6+V47+V58+V68</f>
        <v>31293.924768</v>
      </c>
    </row>
    <row r="85" spans="1:22" s="30" customFormat="1" ht="15" customHeight="1" thickBot="1">
      <c r="A85" s="1670"/>
      <c r="B85" s="1671" t="s">
        <v>967</v>
      </c>
      <c r="C85" s="543">
        <f aca="true" t="shared" si="51" ref="C85:R85">C16+C21+C55+C74</f>
        <v>1436</v>
      </c>
      <c r="D85" s="492">
        <f t="shared" si="51"/>
        <v>10138</v>
      </c>
      <c r="E85" s="982">
        <f t="shared" si="51"/>
        <v>733048</v>
      </c>
      <c r="F85" s="983">
        <f t="shared" si="51"/>
        <v>22083.804047999998</v>
      </c>
      <c r="G85" s="494">
        <f t="shared" si="51"/>
        <v>1274547</v>
      </c>
      <c r="H85" s="550">
        <f t="shared" si="51"/>
        <v>38396.65012200001</v>
      </c>
      <c r="I85" s="551">
        <f t="shared" si="51"/>
        <v>1242349</v>
      </c>
      <c r="J85" s="551">
        <f t="shared" si="51"/>
        <v>37426.982158</v>
      </c>
      <c r="K85" s="551">
        <f t="shared" si="51"/>
        <v>0</v>
      </c>
      <c r="L85" s="551">
        <f t="shared" si="51"/>
        <v>0</v>
      </c>
      <c r="M85" s="551">
        <f t="shared" si="51"/>
        <v>0</v>
      </c>
      <c r="N85" s="551">
        <f t="shared" si="51"/>
        <v>0</v>
      </c>
      <c r="O85" s="551">
        <f t="shared" si="51"/>
        <v>1242349</v>
      </c>
      <c r="P85" s="1687">
        <f t="shared" si="51"/>
        <v>37426.982158</v>
      </c>
      <c r="Q85" s="1675">
        <f t="shared" si="51"/>
        <v>1514658</v>
      </c>
      <c r="R85" s="551">
        <f t="shared" si="51"/>
        <v>45630.563092</v>
      </c>
      <c r="S85" s="551">
        <f>S16+S21+S55+S74</f>
        <v>817503</v>
      </c>
      <c r="T85" s="551">
        <f>T16+T21+T55+T74</f>
        <v>24628.095378000005</v>
      </c>
      <c r="U85" s="551">
        <f>U16+U21+U55+U74</f>
        <v>817503</v>
      </c>
      <c r="V85" s="552">
        <f>V16+V21+V55+V74</f>
        <v>24628.095378000005</v>
      </c>
    </row>
  </sheetData>
  <sheetProtection/>
  <mergeCells count="25">
    <mergeCell ref="M2:N2"/>
    <mergeCell ref="A2:B3"/>
    <mergeCell ref="K2:L2"/>
    <mergeCell ref="I63:J63"/>
    <mergeCell ref="E2:F2"/>
    <mergeCell ref="A81:B82"/>
    <mergeCell ref="E81:F81"/>
    <mergeCell ref="I81:J81"/>
    <mergeCell ref="A63:B64"/>
    <mergeCell ref="E63:F63"/>
    <mergeCell ref="O63:P63"/>
    <mergeCell ref="O81:P81"/>
    <mergeCell ref="K81:L81"/>
    <mergeCell ref="M81:N81"/>
    <mergeCell ref="K63:L63"/>
    <mergeCell ref="M63:N63"/>
    <mergeCell ref="Q2:R2"/>
    <mergeCell ref="Q63:R63"/>
    <mergeCell ref="Q81:R81"/>
    <mergeCell ref="U2:V2"/>
    <mergeCell ref="U63:V63"/>
    <mergeCell ref="U81:V81"/>
    <mergeCell ref="S2:T2"/>
    <mergeCell ref="S63:T63"/>
    <mergeCell ref="S81:T81"/>
  </mergeCells>
  <printOptions horizontalCentered="1"/>
  <pageMargins left="0" right="0.7874015748031497" top="1.1811023622047245" bottom="0.96" header="0" footer="0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V50"/>
  <sheetViews>
    <sheetView showGridLines="0" zoomScalePageLayoutView="0" workbookViewId="0" topLeftCell="A1">
      <pane xSplit="2" ySplit="3" topLeftCell="E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5" sqref="R5"/>
    </sheetView>
  </sheetViews>
  <sheetFormatPr defaultColWidth="9.140625" defaultRowHeight="12.75"/>
  <cols>
    <col min="1" max="1" width="7.7109375" style="48" customWidth="1"/>
    <col min="2" max="2" width="70.7109375" style="30" customWidth="1"/>
    <col min="3" max="4" width="10.7109375" style="263" hidden="1" customWidth="1"/>
    <col min="5" max="6" width="10.7109375" style="30" customWidth="1"/>
    <col min="7" max="16" width="10.7109375" style="30" hidden="1" customWidth="1"/>
    <col min="17" max="22" width="10.7109375" style="30" customWidth="1"/>
    <col min="23" max="16384" width="9.140625" style="30" customWidth="1"/>
  </cols>
  <sheetData>
    <row r="1" spans="1:22" s="1" customFormat="1" ht="19.5" customHeight="1" hidden="1" thickBot="1">
      <c r="A1" s="237" t="s">
        <v>1122</v>
      </c>
      <c r="C1" s="264"/>
      <c r="D1" s="26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23" customFormat="1" ht="39.75" customHeight="1">
      <c r="A2" s="2897"/>
      <c r="B2" s="2898"/>
      <c r="C2" s="811" t="s">
        <v>506</v>
      </c>
      <c r="D2" s="2695" t="s">
        <v>507</v>
      </c>
      <c r="E2" s="2890" t="s">
        <v>184</v>
      </c>
      <c r="F2" s="2891"/>
      <c r="G2" s="460" t="s">
        <v>510</v>
      </c>
      <c r="H2" s="496" t="s">
        <v>510</v>
      </c>
      <c r="I2" s="497" t="s">
        <v>87</v>
      </c>
      <c r="J2" s="497" t="s">
        <v>87</v>
      </c>
      <c r="K2" s="2870" t="s">
        <v>509</v>
      </c>
      <c r="L2" s="2870"/>
      <c r="M2" s="2870" t="s">
        <v>508</v>
      </c>
      <c r="N2" s="2870"/>
      <c r="O2" s="498" t="s">
        <v>952</v>
      </c>
      <c r="P2" s="1571" t="s">
        <v>952</v>
      </c>
      <c r="Q2" s="2874" t="s">
        <v>183</v>
      </c>
      <c r="R2" s="2875"/>
      <c r="S2" s="2892" t="s">
        <v>725</v>
      </c>
      <c r="T2" s="2875"/>
      <c r="U2" s="2875" t="s">
        <v>726</v>
      </c>
      <c r="V2" s="2878"/>
    </row>
    <row r="3" spans="1:22" s="24" customFormat="1" ht="15" customHeight="1" thickBot="1">
      <c r="A3" s="2899"/>
      <c r="B3" s="2900"/>
      <c r="C3" s="347" t="s">
        <v>966</v>
      </c>
      <c r="D3" s="2304" t="s">
        <v>966</v>
      </c>
      <c r="E3" s="768" t="s">
        <v>435</v>
      </c>
      <c r="F3" s="307" t="s">
        <v>966</v>
      </c>
      <c r="G3" s="461" t="s">
        <v>435</v>
      </c>
      <c r="H3" s="352" t="s">
        <v>966</v>
      </c>
      <c r="I3" s="499" t="s">
        <v>435</v>
      </c>
      <c r="J3" s="499" t="s">
        <v>966</v>
      </c>
      <c r="K3" s="241" t="s">
        <v>435</v>
      </c>
      <c r="L3" s="241" t="s">
        <v>966</v>
      </c>
      <c r="M3" s="241" t="s">
        <v>435</v>
      </c>
      <c r="N3" s="241" t="s">
        <v>966</v>
      </c>
      <c r="O3" s="500" t="s">
        <v>435</v>
      </c>
      <c r="P3" s="1572" t="s">
        <v>966</v>
      </c>
      <c r="Q3" s="240" t="s">
        <v>435</v>
      </c>
      <c r="R3" s="241" t="s">
        <v>966</v>
      </c>
      <c r="S3" s="797" t="s">
        <v>435</v>
      </c>
      <c r="T3" s="241" t="s">
        <v>966</v>
      </c>
      <c r="U3" s="241" t="s">
        <v>435</v>
      </c>
      <c r="V3" s="796" t="s">
        <v>966</v>
      </c>
    </row>
    <row r="4" spans="1:22" s="23" customFormat="1" ht="19.5" customHeight="1">
      <c r="A4" s="110" t="s">
        <v>349</v>
      </c>
      <c r="B4" s="1691" t="s">
        <v>1032</v>
      </c>
      <c r="C4" s="812">
        <f aca="true" t="shared" si="0" ref="C4:N4">C5+C13</f>
        <v>59676</v>
      </c>
      <c r="D4" s="2263">
        <f t="shared" si="0"/>
        <v>69069</v>
      </c>
      <c r="E4" s="850">
        <f t="shared" si="0"/>
        <v>2345743</v>
      </c>
      <c r="F4" s="665">
        <f t="shared" si="0"/>
        <v>70667.853618</v>
      </c>
      <c r="G4" s="530">
        <f t="shared" si="0"/>
        <v>2354062</v>
      </c>
      <c r="H4" s="242">
        <f t="shared" si="0"/>
        <v>70918.471812</v>
      </c>
      <c r="I4" s="243">
        <f t="shared" si="0"/>
        <v>2354062</v>
      </c>
      <c r="J4" s="243">
        <f t="shared" si="0"/>
        <v>70918.471812</v>
      </c>
      <c r="K4" s="243">
        <f t="shared" si="0"/>
        <v>2378403</v>
      </c>
      <c r="L4" s="243">
        <f t="shared" si="0"/>
        <v>71651.768778</v>
      </c>
      <c r="M4" s="243">
        <f t="shared" si="0"/>
        <v>2414703</v>
      </c>
      <c r="N4" s="243">
        <f t="shared" si="0"/>
        <v>72745.34257800001</v>
      </c>
      <c r="O4" s="243">
        <f aca="true" t="shared" si="1" ref="O4:V4">O5+O13</f>
        <v>2354062</v>
      </c>
      <c r="P4" s="1548">
        <f t="shared" si="1"/>
        <v>70918.471812</v>
      </c>
      <c r="Q4" s="242">
        <f t="shared" si="1"/>
        <v>2374256</v>
      </c>
      <c r="R4" s="243">
        <f t="shared" si="1"/>
        <v>71526.83625600001</v>
      </c>
      <c r="S4" s="2380">
        <f t="shared" si="1"/>
        <v>2374256</v>
      </c>
      <c r="T4" s="243">
        <f t="shared" si="1"/>
        <v>71526.83625600001</v>
      </c>
      <c r="U4" s="243">
        <f t="shared" si="1"/>
        <v>2374256</v>
      </c>
      <c r="V4" s="285">
        <f t="shared" si="1"/>
        <v>71526.83625600001</v>
      </c>
    </row>
    <row r="5" spans="1:22" ht="19.5" customHeight="1">
      <c r="A5" s="112" t="s">
        <v>461</v>
      </c>
      <c r="B5" s="1692" t="s">
        <v>965</v>
      </c>
      <c r="C5" s="813">
        <f>C6+C9+C10+C11+C12</f>
        <v>59676</v>
      </c>
      <c r="D5" s="2504">
        <f aca="true" t="shared" si="2" ref="D5:N5">D6+D9+D10+D11+D12</f>
        <v>64270</v>
      </c>
      <c r="E5" s="2790">
        <f t="shared" si="2"/>
        <v>2322175</v>
      </c>
      <c r="F5" s="2791">
        <f t="shared" si="2"/>
        <v>69957.84405</v>
      </c>
      <c r="G5" s="559">
        <f t="shared" si="2"/>
        <v>2328062</v>
      </c>
      <c r="H5" s="362">
        <f t="shared" si="2"/>
        <v>70135.195812</v>
      </c>
      <c r="I5" s="363">
        <f t="shared" si="2"/>
        <v>2328062</v>
      </c>
      <c r="J5" s="363">
        <f t="shared" si="2"/>
        <v>70135.195812</v>
      </c>
      <c r="K5" s="363">
        <f t="shared" si="2"/>
        <v>2378403</v>
      </c>
      <c r="L5" s="363">
        <f t="shared" si="2"/>
        <v>71651.768778</v>
      </c>
      <c r="M5" s="363">
        <f t="shared" si="2"/>
        <v>2414703</v>
      </c>
      <c r="N5" s="363">
        <f t="shared" si="2"/>
        <v>72745.34257800001</v>
      </c>
      <c r="O5" s="363">
        <f>O6+O9+O10+O11+O12</f>
        <v>2328062</v>
      </c>
      <c r="P5" s="1573">
        <f>P6+P9+P10+P11+P12</f>
        <v>70135.195812</v>
      </c>
      <c r="Q5" s="362">
        <f>Q6+Q9+Q10+Q11+Q12</f>
        <v>2328062</v>
      </c>
      <c r="R5" s="363">
        <f>R6+R9+R10+R11+R12</f>
        <v>70135.195812</v>
      </c>
      <c r="S5" s="843">
        <v>2328062</v>
      </c>
      <c r="T5" s="363">
        <f>S5*30.126/1000</f>
        <v>70135.195812</v>
      </c>
      <c r="U5" s="363">
        <v>2328062</v>
      </c>
      <c r="V5" s="364">
        <f>U5*30.126/1000</f>
        <v>70135.195812</v>
      </c>
    </row>
    <row r="6" spans="1:22" ht="15" customHeight="1">
      <c r="A6" s="135"/>
      <c r="B6" s="1693" t="s">
        <v>1034</v>
      </c>
      <c r="C6" s="814">
        <v>52275</v>
      </c>
      <c r="D6" s="2709">
        <f>SUM(D7:D8)</f>
        <v>57006</v>
      </c>
      <c r="E6" s="2792">
        <f>SUM(E7:E8)</f>
        <v>2105000</v>
      </c>
      <c r="F6" s="2793">
        <f>SUM(F7:F8)</f>
        <v>63415.23</v>
      </c>
      <c r="G6" s="560">
        <f>SUM(G7:G8)</f>
        <v>2136403</v>
      </c>
      <c r="H6" s="564">
        <f aca="true" t="shared" si="3" ref="H6:N6">SUM(H7:H8)</f>
        <v>64361.27677800001</v>
      </c>
      <c r="I6" s="565">
        <v>2136403</v>
      </c>
      <c r="J6" s="565">
        <f>I6*30.126/1000</f>
        <v>64361.27677800001</v>
      </c>
      <c r="K6" s="565">
        <f t="shared" si="3"/>
        <v>2176403</v>
      </c>
      <c r="L6" s="565">
        <f t="shared" si="3"/>
        <v>65566.31677800001</v>
      </c>
      <c r="M6" s="565">
        <f t="shared" si="3"/>
        <v>2201403</v>
      </c>
      <c r="N6" s="565">
        <f t="shared" si="3"/>
        <v>66319.466778</v>
      </c>
      <c r="O6" s="565">
        <v>2136403</v>
      </c>
      <c r="P6" s="1574">
        <f>O6*30.126/1000</f>
        <v>64361.27677800001</v>
      </c>
      <c r="Q6" s="1688">
        <v>2136403</v>
      </c>
      <c r="R6" s="565">
        <f>Q6*30.126/1000</f>
        <v>64361.27677800001</v>
      </c>
      <c r="S6" s="565"/>
      <c r="T6" s="565"/>
      <c r="U6" s="565"/>
      <c r="V6" s="566"/>
    </row>
    <row r="7" spans="1:22" ht="15" customHeight="1">
      <c r="A7" s="177"/>
      <c r="B7" s="1694" t="s">
        <v>340</v>
      </c>
      <c r="C7" s="815"/>
      <c r="D7" s="2477">
        <v>57006</v>
      </c>
      <c r="E7" s="2794">
        <v>2088403</v>
      </c>
      <c r="F7" s="2795">
        <f>E7*30.126/1000</f>
        <v>62915.228778000004</v>
      </c>
      <c r="G7" s="561">
        <v>2136403</v>
      </c>
      <c r="H7" s="567">
        <f>G7*30.126/1000</f>
        <v>64361.27677800001</v>
      </c>
      <c r="I7" s="256"/>
      <c r="J7" s="256"/>
      <c r="K7" s="256">
        <v>2176403</v>
      </c>
      <c r="L7" s="256">
        <f>K7*30.126/1000</f>
        <v>65566.31677800001</v>
      </c>
      <c r="M7" s="256">
        <v>2201403</v>
      </c>
      <c r="N7" s="256">
        <f>M7*30.126/1000</f>
        <v>66319.466778</v>
      </c>
      <c r="O7" s="256"/>
      <c r="P7" s="1575"/>
      <c r="Q7" s="978">
        <f>Q6-Q8</f>
        <v>2119806</v>
      </c>
      <c r="R7" s="256">
        <f>Q7*30.126/1000</f>
        <v>63861.275556</v>
      </c>
      <c r="S7" s="256"/>
      <c r="T7" s="256"/>
      <c r="U7" s="256"/>
      <c r="V7" s="441"/>
    </row>
    <row r="8" spans="1:22" s="49" customFormat="1" ht="15" customHeight="1">
      <c r="A8" s="425"/>
      <c r="B8" s="1695" t="s">
        <v>11</v>
      </c>
      <c r="C8" s="816"/>
      <c r="D8" s="2530"/>
      <c r="E8" s="1754">
        <v>16597</v>
      </c>
      <c r="F8" s="2796">
        <f>(E8*30.126)/1000</f>
        <v>500.001222</v>
      </c>
      <c r="G8" s="562"/>
      <c r="H8" s="568">
        <f>G8*30.126/1000</f>
        <v>0</v>
      </c>
      <c r="I8" s="250"/>
      <c r="J8" s="256"/>
      <c r="K8" s="250"/>
      <c r="L8" s="250">
        <f>K8*30.126/1000</f>
        <v>0</v>
      </c>
      <c r="M8" s="250"/>
      <c r="N8" s="250">
        <f>M8*30.126/1000</f>
        <v>0</v>
      </c>
      <c r="O8" s="250"/>
      <c r="P8" s="1575"/>
      <c r="Q8" s="1689">
        <v>16597</v>
      </c>
      <c r="R8" s="1707">
        <f>Q8*30.126/1000</f>
        <v>500.001222</v>
      </c>
      <c r="S8" s="250"/>
      <c r="T8" s="256"/>
      <c r="U8" s="250"/>
      <c r="V8" s="441"/>
    </row>
    <row r="9" spans="1:22" ht="15" customHeight="1">
      <c r="A9" s="177"/>
      <c r="B9" s="1696" t="s">
        <v>463</v>
      </c>
      <c r="C9" s="817">
        <v>7277</v>
      </c>
      <c r="D9" s="1758">
        <v>5853</v>
      </c>
      <c r="E9" s="2371">
        <v>214519</v>
      </c>
      <c r="F9" s="2795">
        <f>(E9*30.126)/1000</f>
        <v>6462.599394000001</v>
      </c>
      <c r="G9" s="563">
        <v>190000</v>
      </c>
      <c r="H9" s="569">
        <f>G9*30.126/1000</f>
        <v>5723.94</v>
      </c>
      <c r="I9" s="257">
        <v>190000</v>
      </c>
      <c r="J9" s="257">
        <f>I9*30.126/1000</f>
        <v>5723.94</v>
      </c>
      <c r="K9" s="257">
        <v>200000</v>
      </c>
      <c r="L9" s="257">
        <f>K9*30.126/1000</f>
        <v>6025.2</v>
      </c>
      <c r="M9" s="257">
        <v>210000</v>
      </c>
      <c r="N9" s="257">
        <f>M9*30.126/1000</f>
        <v>6326.46</v>
      </c>
      <c r="O9" s="257">
        <v>190000</v>
      </c>
      <c r="P9" s="1576">
        <f>O9*30.126/1000</f>
        <v>5723.94</v>
      </c>
      <c r="Q9" s="428">
        <v>190000</v>
      </c>
      <c r="R9" s="257">
        <f>Q9*30.126/1000</f>
        <v>5723.94</v>
      </c>
      <c r="S9" s="257"/>
      <c r="T9" s="257"/>
      <c r="U9" s="257"/>
      <c r="V9" s="311"/>
    </row>
    <row r="10" spans="1:22" ht="15" customHeight="1">
      <c r="A10" s="177"/>
      <c r="B10" s="1697" t="s">
        <v>1033</v>
      </c>
      <c r="C10" s="818"/>
      <c r="D10" s="2781">
        <v>25</v>
      </c>
      <c r="E10" s="2371">
        <v>2656</v>
      </c>
      <c r="F10" s="2795">
        <f>(E10*30.126)/1000</f>
        <v>80.014656</v>
      </c>
      <c r="G10" s="563">
        <v>1659</v>
      </c>
      <c r="H10" s="569">
        <f>G10*30.126/1000</f>
        <v>49.979034</v>
      </c>
      <c r="I10" s="257">
        <v>1659</v>
      </c>
      <c r="J10" s="257">
        <f>I10*30.126/1000</f>
        <v>49.979034</v>
      </c>
      <c r="K10" s="257">
        <v>2000</v>
      </c>
      <c r="L10" s="257">
        <f>K10*30.126/1000</f>
        <v>60.252</v>
      </c>
      <c r="M10" s="257">
        <v>3300</v>
      </c>
      <c r="N10" s="257">
        <f>M10*30.126/1000</f>
        <v>99.4158</v>
      </c>
      <c r="O10" s="257">
        <v>1659</v>
      </c>
      <c r="P10" s="1576">
        <f>O10*30.126/1000</f>
        <v>49.979034</v>
      </c>
      <c r="Q10" s="428">
        <v>1659</v>
      </c>
      <c r="R10" s="257">
        <f>Q10*30.126/1000</f>
        <v>49.979034</v>
      </c>
      <c r="S10" s="257"/>
      <c r="T10" s="257"/>
      <c r="U10" s="257"/>
      <c r="V10" s="311"/>
    </row>
    <row r="11" spans="1:22" ht="15" customHeight="1" hidden="1">
      <c r="A11" s="177"/>
      <c r="B11" s="1697" t="s">
        <v>556</v>
      </c>
      <c r="C11" s="818">
        <v>124</v>
      </c>
      <c r="D11" s="2781"/>
      <c r="E11" s="2797"/>
      <c r="F11" s="2798"/>
      <c r="G11" s="563"/>
      <c r="H11" s="569"/>
      <c r="I11" s="257"/>
      <c r="J11" s="257"/>
      <c r="K11" s="257"/>
      <c r="L11" s="257"/>
      <c r="M11" s="257"/>
      <c r="N11" s="257"/>
      <c r="O11" s="257"/>
      <c r="P11" s="1576"/>
      <c r="Q11" s="428"/>
      <c r="R11" s="257"/>
      <c r="S11" s="257"/>
      <c r="T11" s="257"/>
      <c r="U11" s="257"/>
      <c r="V11" s="311"/>
    </row>
    <row r="12" spans="1:22" ht="15" customHeight="1" hidden="1">
      <c r="A12" s="115"/>
      <c r="B12" s="1697" t="s">
        <v>1035</v>
      </c>
      <c r="C12" s="818"/>
      <c r="D12" s="2781">
        <v>1386</v>
      </c>
      <c r="E12" s="2372"/>
      <c r="F12" s="2373"/>
      <c r="G12" s="446"/>
      <c r="H12" s="354"/>
      <c r="I12" s="249"/>
      <c r="J12" s="249"/>
      <c r="K12" s="249"/>
      <c r="L12" s="249"/>
      <c r="M12" s="249"/>
      <c r="N12" s="249"/>
      <c r="O12" s="249"/>
      <c r="P12" s="1553"/>
      <c r="Q12" s="985"/>
      <c r="R12" s="249"/>
      <c r="S12" s="249"/>
      <c r="T12" s="249"/>
      <c r="U12" s="249"/>
      <c r="V12" s="304"/>
    </row>
    <row r="13" spans="1:22" ht="19.5" customHeight="1">
      <c r="A13" s="112" t="s">
        <v>462</v>
      </c>
      <c r="B13" s="1692" t="s">
        <v>967</v>
      </c>
      <c r="C13" s="780">
        <f aca="true" t="shared" si="4" ref="C13:N13">SUM(C14:C17)</f>
        <v>0</v>
      </c>
      <c r="D13" s="456">
        <f t="shared" si="4"/>
        <v>4799</v>
      </c>
      <c r="E13" s="770">
        <f t="shared" si="4"/>
        <v>23568</v>
      </c>
      <c r="F13" s="480">
        <f t="shared" si="4"/>
        <v>710.009568</v>
      </c>
      <c r="G13" s="464">
        <f t="shared" si="4"/>
        <v>26000</v>
      </c>
      <c r="H13" s="245">
        <f t="shared" si="4"/>
        <v>783.276</v>
      </c>
      <c r="I13" s="246">
        <f t="shared" si="4"/>
        <v>26000</v>
      </c>
      <c r="J13" s="246">
        <f t="shared" si="4"/>
        <v>783.276</v>
      </c>
      <c r="K13" s="246">
        <f t="shared" si="4"/>
        <v>0</v>
      </c>
      <c r="L13" s="246">
        <f t="shared" si="4"/>
        <v>0</v>
      </c>
      <c r="M13" s="246">
        <f t="shared" si="4"/>
        <v>0</v>
      </c>
      <c r="N13" s="246">
        <f t="shared" si="4"/>
        <v>0</v>
      </c>
      <c r="O13" s="246">
        <f>SUM(O14:O17)</f>
        <v>26000</v>
      </c>
      <c r="P13" s="1550">
        <f>SUM(P14:P17)</f>
        <v>783.276</v>
      </c>
      <c r="Q13" s="245">
        <f>SUM(Q14:Q17)</f>
        <v>46194</v>
      </c>
      <c r="R13" s="246">
        <f>SUM(R14:R17)</f>
        <v>1391.640444</v>
      </c>
      <c r="S13" s="246">
        <v>46194</v>
      </c>
      <c r="T13" s="246">
        <f>S13*30.126/1000</f>
        <v>1391.6404440000001</v>
      </c>
      <c r="U13" s="246">
        <v>46194</v>
      </c>
      <c r="V13" s="255">
        <f>U13*30.126/1000</f>
        <v>1391.6404440000001</v>
      </c>
    </row>
    <row r="14" spans="1:22" ht="15" customHeight="1">
      <c r="A14" s="121"/>
      <c r="B14" s="1697" t="s">
        <v>557</v>
      </c>
      <c r="C14" s="818"/>
      <c r="D14" s="2781"/>
      <c r="E14" s="772">
        <v>10290</v>
      </c>
      <c r="F14" s="139">
        <f>(E14*30.126)/1000</f>
        <v>309.99654000000004</v>
      </c>
      <c r="G14" s="446"/>
      <c r="H14" s="354"/>
      <c r="I14" s="249"/>
      <c r="J14" s="249"/>
      <c r="K14" s="249"/>
      <c r="L14" s="249"/>
      <c r="M14" s="249"/>
      <c r="N14" s="249"/>
      <c r="O14" s="249"/>
      <c r="P14" s="1553"/>
      <c r="Q14" s="985"/>
      <c r="R14" s="249"/>
      <c r="S14" s="249"/>
      <c r="T14" s="249"/>
      <c r="U14" s="249"/>
      <c r="V14" s="304"/>
    </row>
    <row r="15" spans="1:22" s="389" customFormat="1" ht="15" customHeight="1" hidden="1">
      <c r="A15" s="418"/>
      <c r="B15" s="1698" t="s">
        <v>1035</v>
      </c>
      <c r="C15" s="819"/>
      <c r="D15" s="2782">
        <v>4799</v>
      </c>
      <c r="E15" s="772"/>
      <c r="F15" s="139"/>
      <c r="G15" s="446"/>
      <c r="H15" s="354"/>
      <c r="I15" s="419"/>
      <c r="J15" s="419"/>
      <c r="K15" s="419"/>
      <c r="L15" s="419"/>
      <c r="M15" s="419"/>
      <c r="N15" s="419"/>
      <c r="O15" s="419"/>
      <c r="P15" s="1577"/>
      <c r="Q15" s="1690"/>
      <c r="R15" s="419"/>
      <c r="S15" s="419"/>
      <c r="T15" s="419"/>
      <c r="U15" s="419"/>
      <c r="V15" s="558"/>
    </row>
    <row r="16" spans="1:22" ht="15" customHeight="1">
      <c r="A16" s="115"/>
      <c r="B16" s="1699" t="s">
        <v>464</v>
      </c>
      <c r="C16" s="825"/>
      <c r="D16" s="2783"/>
      <c r="E16" s="772">
        <v>13278</v>
      </c>
      <c r="F16" s="139">
        <f>(E16*30.126)/1000</f>
        <v>400.01302799999996</v>
      </c>
      <c r="G16" s="446">
        <v>13000</v>
      </c>
      <c r="H16" s="354">
        <f>G16*30.126/1000</f>
        <v>391.638</v>
      </c>
      <c r="I16" s="249">
        <v>13000</v>
      </c>
      <c r="J16" s="249">
        <f>I16*30.126/1000</f>
        <v>391.638</v>
      </c>
      <c r="K16" s="249"/>
      <c r="L16" s="249"/>
      <c r="M16" s="249"/>
      <c r="N16" s="249"/>
      <c r="O16" s="249">
        <v>13000</v>
      </c>
      <c r="P16" s="1553">
        <f>O16*30.126/1000</f>
        <v>391.638</v>
      </c>
      <c r="Q16" s="985">
        <v>13000</v>
      </c>
      <c r="R16" s="249">
        <f>Q16*30.126/1000</f>
        <v>391.638</v>
      </c>
      <c r="S16" s="249"/>
      <c r="T16" s="249"/>
      <c r="U16" s="249"/>
      <c r="V16" s="304"/>
    </row>
    <row r="17" spans="1:22" ht="15" customHeight="1" thickBot="1">
      <c r="A17" s="124"/>
      <c r="B17" s="1700" t="s">
        <v>724</v>
      </c>
      <c r="C17" s="820"/>
      <c r="D17" s="2784"/>
      <c r="E17" s="2374"/>
      <c r="F17" s="380"/>
      <c r="G17" s="537">
        <v>13000</v>
      </c>
      <c r="H17" s="526">
        <f>G17*30.126/1000</f>
        <v>391.638</v>
      </c>
      <c r="I17" s="280">
        <v>13000</v>
      </c>
      <c r="J17" s="280">
        <f>I17*30.126/1000</f>
        <v>391.638</v>
      </c>
      <c r="K17" s="280"/>
      <c r="L17" s="280"/>
      <c r="M17" s="280"/>
      <c r="N17" s="280"/>
      <c r="O17" s="280">
        <v>13000</v>
      </c>
      <c r="P17" s="1578">
        <f>O17*30.126/1000</f>
        <v>391.638</v>
      </c>
      <c r="Q17" s="1570">
        <v>33194</v>
      </c>
      <c r="R17" s="280">
        <f>Q17*30.126/1000</f>
        <v>1000.002444</v>
      </c>
      <c r="S17" s="280"/>
      <c r="T17" s="280"/>
      <c r="U17" s="280"/>
      <c r="V17" s="528"/>
    </row>
    <row r="18" spans="1:22" s="26" customFormat="1" ht="19.5" customHeight="1" thickBot="1">
      <c r="A18" s="365"/>
      <c r="B18" s="366"/>
      <c r="C18" s="367"/>
      <c r="D18" s="367"/>
      <c r="E18" s="265"/>
      <c r="F18" s="265"/>
      <c r="G18" s="265"/>
      <c r="H18" s="265"/>
      <c r="I18" s="265"/>
      <c r="J18" s="265"/>
      <c r="K18" s="265"/>
      <c r="L18" s="265"/>
      <c r="M18" s="265"/>
      <c r="N18" s="71"/>
      <c r="O18" s="265"/>
      <c r="P18" s="265"/>
      <c r="Q18" s="265"/>
      <c r="R18" s="265"/>
      <c r="S18" s="265"/>
      <c r="T18" s="265"/>
      <c r="U18" s="265"/>
      <c r="V18" s="265"/>
    </row>
    <row r="19" spans="1:22" s="23" customFormat="1" ht="39.75" customHeight="1" thickTop="1">
      <c r="A19" s="2851"/>
      <c r="B19" s="2895"/>
      <c r="C19" s="360" t="s">
        <v>506</v>
      </c>
      <c r="D19" s="2112" t="s">
        <v>507</v>
      </c>
      <c r="E19" s="2890" t="s">
        <v>184</v>
      </c>
      <c r="F19" s="2891"/>
      <c r="G19" s="1101" t="s">
        <v>510</v>
      </c>
      <c r="H19" s="1001" t="s">
        <v>510</v>
      </c>
      <c r="I19" s="826" t="s">
        <v>87</v>
      </c>
      <c r="J19" s="826" t="s">
        <v>87</v>
      </c>
      <c r="K19" s="2871" t="s">
        <v>509</v>
      </c>
      <c r="L19" s="2871"/>
      <c r="M19" s="2871" t="s">
        <v>508</v>
      </c>
      <c r="N19" s="2871"/>
      <c r="O19" s="824" t="s">
        <v>952</v>
      </c>
      <c r="P19" s="1579" t="s">
        <v>952</v>
      </c>
      <c r="Q19" s="2861" t="s">
        <v>183</v>
      </c>
      <c r="R19" s="2863"/>
      <c r="S19" s="2865" t="s">
        <v>725</v>
      </c>
      <c r="T19" s="2863"/>
      <c r="U19" s="2863" t="s">
        <v>726</v>
      </c>
      <c r="V19" s="2864"/>
    </row>
    <row r="20" spans="1:22" s="24" customFormat="1" ht="15" customHeight="1" thickBot="1">
      <c r="A20" s="2848"/>
      <c r="B20" s="2896"/>
      <c r="C20" s="347" t="s">
        <v>966</v>
      </c>
      <c r="D20" s="2304" t="s">
        <v>966</v>
      </c>
      <c r="E20" s="768" t="s">
        <v>435</v>
      </c>
      <c r="F20" s="307" t="s">
        <v>966</v>
      </c>
      <c r="G20" s="571" t="s">
        <v>435</v>
      </c>
      <c r="H20" s="238" t="s">
        <v>966</v>
      </c>
      <c r="I20" s="995" t="s">
        <v>435</v>
      </c>
      <c r="J20" s="995" t="s">
        <v>966</v>
      </c>
      <c r="K20" s="239" t="s">
        <v>435</v>
      </c>
      <c r="L20" s="239" t="s">
        <v>966</v>
      </c>
      <c r="M20" s="239" t="s">
        <v>435</v>
      </c>
      <c r="N20" s="239" t="s">
        <v>966</v>
      </c>
      <c r="O20" s="996" t="s">
        <v>435</v>
      </c>
      <c r="P20" s="1580" t="s">
        <v>966</v>
      </c>
      <c r="Q20" s="238" t="s">
        <v>435</v>
      </c>
      <c r="R20" s="239" t="s">
        <v>966</v>
      </c>
      <c r="S20" s="2117" t="s">
        <v>435</v>
      </c>
      <c r="T20" s="239" t="s">
        <v>966</v>
      </c>
      <c r="U20" s="239" t="s">
        <v>435</v>
      </c>
      <c r="V20" s="307" t="s">
        <v>966</v>
      </c>
    </row>
    <row r="21" spans="1:22" s="420" customFormat="1" ht="19.5" customHeight="1">
      <c r="A21" s="1011" t="s">
        <v>734</v>
      </c>
      <c r="B21" s="1012" t="s">
        <v>318</v>
      </c>
      <c r="C21" s="1013">
        <f>C24+C33</f>
        <v>0</v>
      </c>
      <c r="D21" s="1507">
        <f aca="true" t="shared" si="5" ref="D21:N21">D24+D33</f>
        <v>0</v>
      </c>
      <c r="E21" s="1018">
        <f t="shared" si="5"/>
        <v>5000</v>
      </c>
      <c r="F21" s="1017">
        <f t="shared" si="5"/>
        <v>150.63</v>
      </c>
      <c r="G21" s="1102">
        <f t="shared" si="5"/>
        <v>4357632</v>
      </c>
      <c r="H21" s="1015">
        <f t="shared" si="5"/>
        <v>131277.73299</v>
      </c>
      <c r="I21" s="1016">
        <f t="shared" si="5"/>
        <v>4357632</v>
      </c>
      <c r="J21" s="1016">
        <f t="shared" si="5"/>
        <v>131277.73299</v>
      </c>
      <c r="K21" s="1016">
        <f t="shared" si="5"/>
        <v>3221160</v>
      </c>
      <c r="L21" s="1016">
        <f t="shared" si="5"/>
        <v>97040.37751800001</v>
      </c>
      <c r="M21" s="1016">
        <f t="shared" si="5"/>
        <v>0</v>
      </c>
      <c r="N21" s="1016">
        <f t="shared" si="5"/>
        <v>0</v>
      </c>
      <c r="O21" s="1016">
        <f aca="true" t="shared" si="6" ref="O21:P23">O24+O33</f>
        <v>4357632</v>
      </c>
      <c r="P21" s="1507">
        <f t="shared" si="6"/>
        <v>131277.73299</v>
      </c>
      <c r="Q21" s="1015">
        <f aca="true" t="shared" si="7" ref="Q21:R23">Q24+Q33</f>
        <v>4337248</v>
      </c>
      <c r="R21" s="1016">
        <f t="shared" si="7"/>
        <v>130663.644606</v>
      </c>
      <c r="S21" s="1013">
        <f aca="true" t="shared" si="8" ref="S21:V23">S24+S33</f>
        <v>3221160</v>
      </c>
      <c r="T21" s="1016">
        <f t="shared" si="8"/>
        <v>97040.66616000001</v>
      </c>
      <c r="U21" s="1016">
        <f t="shared" si="8"/>
        <v>0</v>
      </c>
      <c r="V21" s="1017">
        <f t="shared" si="8"/>
        <v>0</v>
      </c>
    </row>
    <row r="22" spans="1:22" ht="15" customHeight="1">
      <c r="A22" s="1020"/>
      <c r="B22" s="1021" t="s">
        <v>7</v>
      </c>
      <c r="C22" s="1022">
        <f>C25+C34</f>
        <v>0</v>
      </c>
      <c r="D22" s="1508">
        <f aca="true" t="shared" si="9" ref="D22:N22">D25+D34</f>
        <v>0</v>
      </c>
      <c r="E22" s="1027">
        <f t="shared" si="9"/>
        <v>5000</v>
      </c>
      <c r="F22" s="1026">
        <f t="shared" si="9"/>
        <v>150.63</v>
      </c>
      <c r="G22" s="369">
        <f t="shared" si="9"/>
        <v>232132</v>
      </c>
      <c r="H22" s="1024">
        <f t="shared" si="9"/>
        <v>6993.208632</v>
      </c>
      <c r="I22" s="1025">
        <f t="shared" si="9"/>
        <v>232132</v>
      </c>
      <c r="J22" s="1025">
        <f t="shared" si="9"/>
        <v>6993.208632</v>
      </c>
      <c r="K22" s="1025">
        <f t="shared" si="9"/>
        <v>175308</v>
      </c>
      <c r="L22" s="1025">
        <f t="shared" si="9"/>
        <v>5281.328808</v>
      </c>
      <c r="M22" s="1025">
        <f t="shared" si="9"/>
        <v>0</v>
      </c>
      <c r="N22" s="1025">
        <f t="shared" si="9"/>
        <v>0</v>
      </c>
      <c r="O22" s="1025">
        <f t="shared" si="6"/>
        <v>232132</v>
      </c>
      <c r="P22" s="1508">
        <f t="shared" si="6"/>
        <v>6993.208632</v>
      </c>
      <c r="Q22" s="1024">
        <f t="shared" si="7"/>
        <v>231113</v>
      </c>
      <c r="R22" s="1025">
        <f t="shared" si="7"/>
        <v>6962.510238</v>
      </c>
      <c r="S22" s="1022">
        <f t="shared" si="8"/>
        <v>175308</v>
      </c>
      <c r="T22" s="1025">
        <f t="shared" si="8"/>
        <v>5281.328808</v>
      </c>
      <c r="U22" s="1025">
        <f t="shared" si="8"/>
        <v>0</v>
      </c>
      <c r="V22" s="1026">
        <f t="shared" si="8"/>
        <v>0</v>
      </c>
    </row>
    <row r="23" spans="1:22" s="49" customFormat="1" ht="15" customHeight="1">
      <c r="A23" s="1029"/>
      <c r="B23" s="1030" t="s">
        <v>8</v>
      </c>
      <c r="C23" s="1031">
        <f>C26+C35</f>
        <v>0</v>
      </c>
      <c r="D23" s="1509">
        <f aca="true" t="shared" si="10" ref="D23:N23">D26+D35</f>
        <v>0</v>
      </c>
      <c r="E23" s="1036">
        <f t="shared" si="10"/>
        <v>0</v>
      </c>
      <c r="F23" s="1035">
        <f t="shared" si="10"/>
        <v>0</v>
      </c>
      <c r="G23" s="1082">
        <f t="shared" si="10"/>
        <v>4125500</v>
      </c>
      <c r="H23" s="1033">
        <f t="shared" si="10"/>
        <v>124284.524358</v>
      </c>
      <c r="I23" s="1034">
        <f t="shared" si="10"/>
        <v>4125500</v>
      </c>
      <c r="J23" s="1034">
        <f t="shared" si="10"/>
        <v>124284.524358</v>
      </c>
      <c r="K23" s="1034">
        <f t="shared" si="10"/>
        <v>3045852</v>
      </c>
      <c r="L23" s="1034">
        <f t="shared" si="10"/>
        <v>91759.04871</v>
      </c>
      <c r="M23" s="1034">
        <f t="shared" si="10"/>
        <v>0</v>
      </c>
      <c r="N23" s="1034">
        <f t="shared" si="10"/>
        <v>0</v>
      </c>
      <c r="O23" s="1034">
        <f t="shared" si="6"/>
        <v>4125500</v>
      </c>
      <c r="P23" s="1509">
        <f t="shared" si="6"/>
        <v>124284.524358</v>
      </c>
      <c r="Q23" s="1033">
        <f t="shared" si="7"/>
        <v>4106135</v>
      </c>
      <c r="R23" s="1034">
        <f t="shared" si="7"/>
        <v>123701.13436799998</v>
      </c>
      <c r="S23" s="1031">
        <f t="shared" si="8"/>
        <v>3045852</v>
      </c>
      <c r="T23" s="1034">
        <f t="shared" si="8"/>
        <v>91759.337352</v>
      </c>
      <c r="U23" s="1034">
        <f t="shared" si="8"/>
        <v>0</v>
      </c>
      <c r="V23" s="1035">
        <f t="shared" si="8"/>
        <v>0</v>
      </c>
    </row>
    <row r="24" spans="1:22" s="49" customFormat="1" ht="15" customHeight="1">
      <c r="A24" s="1038"/>
      <c r="B24" s="1039" t="s">
        <v>965</v>
      </c>
      <c r="C24" s="1040">
        <f>C27+C30</f>
        <v>0</v>
      </c>
      <c r="D24" s="1510">
        <f aca="true" t="shared" si="11" ref="D24:N24">D27+D30</f>
        <v>0</v>
      </c>
      <c r="E24" s="1045">
        <f t="shared" si="11"/>
        <v>5000</v>
      </c>
      <c r="F24" s="1044">
        <f t="shared" si="11"/>
        <v>150.63</v>
      </c>
      <c r="G24" s="1083">
        <f t="shared" si="11"/>
        <v>65639</v>
      </c>
      <c r="H24" s="1042">
        <f t="shared" si="11"/>
        <v>1977.151872</v>
      </c>
      <c r="I24" s="1043">
        <f t="shared" si="11"/>
        <v>65639</v>
      </c>
      <c r="J24" s="1043">
        <f t="shared" si="11"/>
        <v>1977.151872</v>
      </c>
      <c r="K24" s="1043">
        <f t="shared" si="11"/>
        <v>65639</v>
      </c>
      <c r="L24" s="1043">
        <f t="shared" si="11"/>
        <v>1977.151872</v>
      </c>
      <c r="M24" s="1043">
        <f t="shared" si="11"/>
        <v>0</v>
      </c>
      <c r="N24" s="1043">
        <f t="shared" si="11"/>
        <v>0</v>
      </c>
      <c r="O24" s="1043">
        <f aca="true" t="shared" si="12" ref="O24:P26">O27+O30</f>
        <v>65639</v>
      </c>
      <c r="P24" s="1510">
        <f t="shared" si="12"/>
        <v>1977.151872</v>
      </c>
      <c r="Q24" s="1042">
        <f aca="true" t="shared" si="13" ref="Q24:R26">Q27+Q30</f>
        <v>65639</v>
      </c>
      <c r="R24" s="1043">
        <f t="shared" si="13"/>
        <v>1977.151872</v>
      </c>
      <c r="S24" s="1040">
        <f aca="true" t="shared" si="14" ref="S24:V26">S27+S30</f>
        <v>65639</v>
      </c>
      <c r="T24" s="1043">
        <f t="shared" si="14"/>
        <v>1977.440514</v>
      </c>
      <c r="U24" s="1043">
        <f t="shared" si="14"/>
        <v>0</v>
      </c>
      <c r="V24" s="1044">
        <f t="shared" si="14"/>
        <v>0</v>
      </c>
    </row>
    <row r="25" spans="1:22" ht="15" customHeight="1">
      <c r="A25" s="1020"/>
      <c r="B25" s="1021" t="s">
        <v>7</v>
      </c>
      <c r="C25" s="1022">
        <f>C28+C31</f>
        <v>0</v>
      </c>
      <c r="D25" s="1508">
        <f aca="true" t="shared" si="15" ref="D25:N25">D28+D31</f>
        <v>0</v>
      </c>
      <c r="E25" s="1027">
        <f t="shared" si="15"/>
        <v>5000</v>
      </c>
      <c r="F25" s="1026">
        <f t="shared" si="15"/>
        <v>150.63</v>
      </c>
      <c r="G25" s="369">
        <f t="shared" si="15"/>
        <v>17532</v>
      </c>
      <c r="H25" s="1024">
        <f t="shared" si="15"/>
        <v>528.169032</v>
      </c>
      <c r="I25" s="1025">
        <f t="shared" si="15"/>
        <v>17532</v>
      </c>
      <c r="J25" s="1025">
        <f t="shared" si="15"/>
        <v>528.169032</v>
      </c>
      <c r="K25" s="1025">
        <f t="shared" si="15"/>
        <v>17532</v>
      </c>
      <c r="L25" s="1025">
        <f t="shared" si="15"/>
        <v>528.169032</v>
      </c>
      <c r="M25" s="1025">
        <f t="shared" si="15"/>
        <v>0</v>
      </c>
      <c r="N25" s="1025">
        <f t="shared" si="15"/>
        <v>0</v>
      </c>
      <c r="O25" s="1025">
        <f t="shared" si="12"/>
        <v>17532</v>
      </c>
      <c r="P25" s="1508">
        <f t="shared" si="12"/>
        <v>528.169032</v>
      </c>
      <c r="Q25" s="1024">
        <f t="shared" si="13"/>
        <v>17532</v>
      </c>
      <c r="R25" s="1025">
        <f t="shared" si="13"/>
        <v>528.169032</v>
      </c>
      <c r="S25" s="1022">
        <f t="shared" si="14"/>
        <v>17532</v>
      </c>
      <c r="T25" s="1025">
        <f t="shared" si="14"/>
        <v>528.169032</v>
      </c>
      <c r="U25" s="1025">
        <f t="shared" si="14"/>
        <v>0</v>
      </c>
      <c r="V25" s="1026">
        <f t="shared" si="14"/>
        <v>0</v>
      </c>
    </row>
    <row r="26" spans="1:22" s="49" customFormat="1" ht="15" customHeight="1">
      <c r="A26" s="1047"/>
      <c r="B26" s="1048" t="s">
        <v>8</v>
      </c>
      <c r="C26" s="1049">
        <f>C29+C32</f>
        <v>0</v>
      </c>
      <c r="D26" s="1511">
        <f aca="true" t="shared" si="16" ref="D26:N26">D29+D32</f>
        <v>0</v>
      </c>
      <c r="E26" s="1054">
        <f t="shared" si="16"/>
        <v>0</v>
      </c>
      <c r="F26" s="1053">
        <f t="shared" si="16"/>
        <v>0</v>
      </c>
      <c r="G26" s="1084">
        <f t="shared" si="16"/>
        <v>48107</v>
      </c>
      <c r="H26" s="1051">
        <f t="shared" si="16"/>
        <v>1448.9828400000001</v>
      </c>
      <c r="I26" s="1052">
        <f t="shared" si="16"/>
        <v>48107</v>
      </c>
      <c r="J26" s="1052">
        <f t="shared" si="16"/>
        <v>1448.9828400000001</v>
      </c>
      <c r="K26" s="1052">
        <f t="shared" si="16"/>
        <v>48107</v>
      </c>
      <c r="L26" s="1052">
        <f t="shared" si="16"/>
        <v>1448.9828400000001</v>
      </c>
      <c r="M26" s="1052">
        <f t="shared" si="16"/>
        <v>0</v>
      </c>
      <c r="N26" s="1052">
        <f t="shared" si="16"/>
        <v>0</v>
      </c>
      <c r="O26" s="1052">
        <f t="shared" si="12"/>
        <v>48107</v>
      </c>
      <c r="P26" s="1511">
        <f t="shared" si="12"/>
        <v>1448.9828400000001</v>
      </c>
      <c r="Q26" s="1051">
        <f t="shared" si="13"/>
        <v>48107</v>
      </c>
      <c r="R26" s="1052">
        <f t="shared" si="13"/>
        <v>1448.9828400000001</v>
      </c>
      <c r="S26" s="1049">
        <f t="shared" si="14"/>
        <v>48107</v>
      </c>
      <c r="T26" s="1052">
        <f t="shared" si="14"/>
        <v>1449.271482</v>
      </c>
      <c r="U26" s="1052">
        <f t="shared" si="14"/>
        <v>0</v>
      </c>
      <c r="V26" s="1053">
        <f t="shared" si="14"/>
        <v>0</v>
      </c>
    </row>
    <row r="27" spans="1:22" s="24" customFormat="1" ht="15" customHeight="1">
      <c r="A27" s="1103"/>
      <c r="B27" s="1104" t="s">
        <v>28</v>
      </c>
      <c r="C27" s="1105">
        <f>SUM(C28:C29)</f>
        <v>0</v>
      </c>
      <c r="D27" s="1581">
        <f aca="true" t="shared" si="17" ref="D27:N27">SUM(D28:D29)</f>
        <v>0</v>
      </c>
      <c r="E27" s="2799">
        <f t="shared" si="17"/>
        <v>5000</v>
      </c>
      <c r="F27" s="1701">
        <f t="shared" si="17"/>
        <v>150.63</v>
      </c>
      <c r="G27" s="1107">
        <f t="shared" si="17"/>
        <v>50639</v>
      </c>
      <c r="H27" s="1106">
        <f t="shared" si="17"/>
        <v>1525.261872</v>
      </c>
      <c r="I27" s="1108">
        <f t="shared" si="17"/>
        <v>50639</v>
      </c>
      <c r="J27" s="1108">
        <f t="shared" si="17"/>
        <v>1525.261872</v>
      </c>
      <c r="K27" s="1108">
        <f t="shared" si="17"/>
        <v>50639</v>
      </c>
      <c r="L27" s="1108">
        <f t="shared" si="17"/>
        <v>1525.261872</v>
      </c>
      <c r="M27" s="1108">
        <f t="shared" si="17"/>
        <v>0</v>
      </c>
      <c r="N27" s="1108">
        <f t="shared" si="17"/>
        <v>0</v>
      </c>
      <c r="O27" s="1108">
        <f aca="true" t="shared" si="18" ref="O27:V27">SUM(O28:O29)</f>
        <v>50639</v>
      </c>
      <c r="P27" s="1581">
        <f t="shared" si="18"/>
        <v>1525.261872</v>
      </c>
      <c r="Q27" s="1106">
        <f t="shared" si="18"/>
        <v>50639</v>
      </c>
      <c r="R27" s="1108">
        <f t="shared" si="18"/>
        <v>1525.261872</v>
      </c>
      <c r="S27" s="1105">
        <f t="shared" si="18"/>
        <v>50639</v>
      </c>
      <c r="T27" s="1108">
        <f t="shared" si="18"/>
        <v>1525.550514</v>
      </c>
      <c r="U27" s="1108">
        <f t="shared" si="18"/>
        <v>0</v>
      </c>
      <c r="V27" s="1701">
        <f t="shared" si="18"/>
        <v>0</v>
      </c>
    </row>
    <row r="28" spans="1:22" ht="15" customHeight="1">
      <c r="A28" s="1109"/>
      <c r="B28" s="834" t="s">
        <v>340</v>
      </c>
      <c r="C28" s="1110"/>
      <c r="D28" s="2531"/>
      <c r="E28" s="2371">
        <v>5000</v>
      </c>
      <c r="F28" s="2795">
        <f>(E28*30.126)/1000</f>
        <v>150.63</v>
      </c>
      <c r="G28" s="1111">
        <v>2532</v>
      </c>
      <c r="H28" s="43">
        <f>G28*30.126/1000</f>
        <v>76.279032</v>
      </c>
      <c r="I28" s="41">
        <v>2532</v>
      </c>
      <c r="J28" s="41">
        <f>I28*30.126/1000</f>
        <v>76.279032</v>
      </c>
      <c r="K28" s="41">
        <v>2532</v>
      </c>
      <c r="L28" s="41">
        <f>K28*30.126/1000</f>
        <v>76.279032</v>
      </c>
      <c r="M28" s="41"/>
      <c r="N28" s="9"/>
      <c r="O28" s="41">
        <v>2532</v>
      </c>
      <c r="P28" s="1582">
        <f>O28*30.126/1000</f>
        <v>76.279032</v>
      </c>
      <c r="Q28" s="43">
        <v>2532</v>
      </c>
      <c r="R28" s="41">
        <f>Q28*30.126/1000</f>
        <v>76.279032</v>
      </c>
      <c r="S28" s="930">
        <v>2532</v>
      </c>
      <c r="T28" s="41">
        <f>S28*30.126/1000</f>
        <v>76.279032</v>
      </c>
      <c r="U28" s="41"/>
      <c r="V28" s="227"/>
    </row>
    <row r="29" spans="1:22" s="49" customFormat="1" ht="15" customHeight="1">
      <c r="A29" s="1112"/>
      <c r="B29" s="1065" t="s">
        <v>341</v>
      </c>
      <c r="C29" s="816"/>
      <c r="D29" s="2785"/>
      <c r="E29" s="1754"/>
      <c r="F29" s="1116"/>
      <c r="G29" s="1114">
        <v>48107</v>
      </c>
      <c r="H29" s="1099">
        <f>G29*30.12/1000</f>
        <v>1448.9828400000001</v>
      </c>
      <c r="I29" s="1115">
        <v>48107</v>
      </c>
      <c r="J29" s="1115">
        <f>I29*30.12/1000</f>
        <v>1448.9828400000001</v>
      </c>
      <c r="K29" s="1115">
        <v>48107</v>
      </c>
      <c r="L29" s="1115">
        <f>K29*30.12/1000</f>
        <v>1448.9828400000001</v>
      </c>
      <c r="M29" s="1115"/>
      <c r="N29" s="1115"/>
      <c r="O29" s="1115">
        <v>48107</v>
      </c>
      <c r="P29" s="1583">
        <f>O29*30.12/1000</f>
        <v>1448.9828400000001</v>
      </c>
      <c r="Q29" s="1099">
        <v>48107</v>
      </c>
      <c r="R29" s="1115">
        <f>Q29*30.12/1000</f>
        <v>1448.9828400000001</v>
      </c>
      <c r="S29" s="2599">
        <v>48107</v>
      </c>
      <c r="T29" s="1115">
        <f>S29*30.126/1000</f>
        <v>1449.271482</v>
      </c>
      <c r="U29" s="1115"/>
      <c r="V29" s="1116"/>
    </row>
    <row r="30" spans="1:22" s="24" customFormat="1" ht="15" customHeight="1">
      <c r="A30" s="1117"/>
      <c r="B30" s="1118" t="s">
        <v>173</v>
      </c>
      <c r="C30" s="1119">
        <f>SUM(C31:C32)</f>
        <v>0</v>
      </c>
      <c r="D30" s="1584">
        <f aca="true" t="shared" si="19" ref="D30:N30">SUM(D31:D32)</f>
        <v>0</v>
      </c>
      <c r="E30" s="2800">
        <f t="shared" si="19"/>
        <v>0</v>
      </c>
      <c r="F30" s="1702">
        <f t="shared" si="19"/>
        <v>0</v>
      </c>
      <c r="G30" s="1121">
        <f t="shared" si="19"/>
        <v>15000</v>
      </c>
      <c r="H30" s="1120">
        <f t="shared" si="19"/>
        <v>451.89</v>
      </c>
      <c r="I30" s="1122">
        <f t="shared" si="19"/>
        <v>15000</v>
      </c>
      <c r="J30" s="1122">
        <f t="shared" si="19"/>
        <v>451.89</v>
      </c>
      <c r="K30" s="1122">
        <f t="shared" si="19"/>
        <v>15000</v>
      </c>
      <c r="L30" s="1122">
        <f t="shared" si="19"/>
        <v>451.89</v>
      </c>
      <c r="M30" s="1122">
        <f t="shared" si="19"/>
        <v>0</v>
      </c>
      <c r="N30" s="1122">
        <f t="shared" si="19"/>
        <v>0</v>
      </c>
      <c r="O30" s="1122">
        <f aca="true" t="shared" si="20" ref="O30:V30">SUM(O31:O32)</f>
        <v>15000</v>
      </c>
      <c r="P30" s="1584">
        <f t="shared" si="20"/>
        <v>451.89</v>
      </c>
      <c r="Q30" s="1120">
        <f t="shared" si="20"/>
        <v>15000</v>
      </c>
      <c r="R30" s="1122">
        <f t="shared" si="20"/>
        <v>451.89</v>
      </c>
      <c r="S30" s="1119">
        <f t="shared" si="20"/>
        <v>15000</v>
      </c>
      <c r="T30" s="1122">
        <f t="shared" si="20"/>
        <v>451.89</v>
      </c>
      <c r="U30" s="1122">
        <f t="shared" si="20"/>
        <v>0</v>
      </c>
      <c r="V30" s="1702">
        <f t="shared" si="20"/>
        <v>0</v>
      </c>
    </row>
    <row r="31" spans="1:22" ht="15" customHeight="1">
      <c r="A31" s="1123"/>
      <c r="B31" s="834" t="s">
        <v>340</v>
      </c>
      <c r="C31" s="1110"/>
      <c r="D31" s="2531"/>
      <c r="E31" s="772"/>
      <c r="F31" s="139"/>
      <c r="G31" s="963">
        <v>15000</v>
      </c>
      <c r="H31" s="35">
        <f>G31*30.126/1000</f>
        <v>451.89</v>
      </c>
      <c r="I31" s="9">
        <v>15000</v>
      </c>
      <c r="J31" s="9">
        <f>I31*30.126/1000</f>
        <v>451.89</v>
      </c>
      <c r="K31" s="9">
        <v>15000</v>
      </c>
      <c r="L31" s="9">
        <f>K31*30.126/1000</f>
        <v>451.89</v>
      </c>
      <c r="M31" s="9"/>
      <c r="N31" s="9"/>
      <c r="O31" s="9">
        <v>15000</v>
      </c>
      <c r="P31" s="382">
        <f>O31*30.126/1000</f>
        <v>451.89</v>
      </c>
      <c r="Q31" s="35">
        <v>15000</v>
      </c>
      <c r="R31" s="9">
        <f>Q31*30.126/1000</f>
        <v>451.89</v>
      </c>
      <c r="S31" s="782">
        <v>15000</v>
      </c>
      <c r="T31" s="9">
        <f>S31*30.126/1000</f>
        <v>451.89</v>
      </c>
      <c r="U31" s="9"/>
      <c r="V31" s="139"/>
    </row>
    <row r="32" spans="1:22" s="49" customFormat="1" ht="15" customHeight="1">
      <c r="A32" s="1124"/>
      <c r="B32" s="1065" t="s">
        <v>341</v>
      </c>
      <c r="C32" s="1125"/>
      <c r="D32" s="2786"/>
      <c r="E32" s="2650"/>
      <c r="F32" s="1129"/>
      <c r="G32" s="1127">
        <v>0</v>
      </c>
      <c r="H32" s="1126">
        <v>0</v>
      </c>
      <c r="I32" s="1128">
        <v>0</v>
      </c>
      <c r="J32" s="1128">
        <v>0</v>
      </c>
      <c r="K32" s="1128">
        <v>0</v>
      </c>
      <c r="L32" s="1128">
        <v>0</v>
      </c>
      <c r="M32" s="1128"/>
      <c r="N32" s="1128"/>
      <c r="O32" s="1128">
        <v>0</v>
      </c>
      <c r="P32" s="1585">
        <v>0</v>
      </c>
      <c r="Q32" s="1126">
        <v>0</v>
      </c>
      <c r="R32" s="1128">
        <v>0</v>
      </c>
      <c r="S32" s="2653">
        <v>0</v>
      </c>
      <c r="T32" s="1128">
        <v>0</v>
      </c>
      <c r="U32" s="1128"/>
      <c r="V32" s="1129"/>
    </row>
    <row r="33" spans="1:22" s="49" customFormat="1" ht="15" customHeight="1">
      <c r="A33" s="1038"/>
      <c r="B33" s="1039" t="s">
        <v>967</v>
      </c>
      <c r="C33" s="1040">
        <f>C36+C39+C42</f>
        <v>0</v>
      </c>
      <c r="D33" s="1510">
        <f aca="true" t="shared" si="21" ref="D33:N33">D36+D39+D42</f>
        <v>0</v>
      </c>
      <c r="E33" s="1045">
        <f t="shared" si="21"/>
        <v>0</v>
      </c>
      <c r="F33" s="1044">
        <f t="shared" si="21"/>
        <v>0</v>
      </c>
      <c r="G33" s="1083">
        <f t="shared" si="21"/>
        <v>4291993</v>
      </c>
      <c r="H33" s="1042">
        <f t="shared" si="21"/>
        <v>129300.581118</v>
      </c>
      <c r="I33" s="1043">
        <f t="shared" si="21"/>
        <v>4291993</v>
      </c>
      <c r="J33" s="1043">
        <f t="shared" si="21"/>
        <v>129300.581118</v>
      </c>
      <c r="K33" s="1043">
        <f t="shared" si="21"/>
        <v>3155521</v>
      </c>
      <c r="L33" s="1043">
        <f t="shared" si="21"/>
        <v>95063.225646</v>
      </c>
      <c r="M33" s="1043">
        <f t="shared" si="21"/>
        <v>0</v>
      </c>
      <c r="N33" s="1043">
        <f t="shared" si="21"/>
        <v>0</v>
      </c>
      <c r="O33" s="1043">
        <f aca="true" t="shared" si="22" ref="O33:P35">O36+O39+O42</f>
        <v>4291993</v>
      </c>
      <c r="P33" s="1510">
        <f t="shared" si="22"/>
        <v>129300.581118</v>
      </c>
      <c r="Q33" s="1042">
        <f aca="true" t="shared" si="23" ref="Q33:R35">Q36+Q39+Q42</f>
        <v>4271609</v>
      </c>
      <c r="R33" s="1043">
        <f t="shared" si="23"/>
        <v>128686.492734</v>
      </c>
      <c r="S33" s="1040">
        <f aca="true" t="shared" si="24" ref="S33:V35">S36+S39+S42</f>
        <v>3155521</v>
      </c>
      <c r="T33" s="1043">
        <f t="shared" si="24"/>
        <v>95063.225646</v>
      </c>
      <c r="U33" s="1043">
        <f t="shared" si="24"/>
        <v>0</v>
      </c>
      <c r="V33" s="1044">
        <f t="shared" si="24"/>
        <v>0</v>
      </c>
    </row>
    <row r="34" spans="1:22" ht="15" customHeight="1">
      <c r="A34" s="1020"/>
      <c r="B34" s="1021" t="s">
        <v>7</v>
      </c>
      <c r="C34" s="1022">
        <f>C37+C40+C43</f>
        <v>0</v>
      </c>
      <c r="D34" s="1508">
        <f aca="true" t="shared" si="25" ref="D34:N34">D37+D40+D43</f>
        <v>0</v>
      </c>
      <c r="E34" s="1027">
        <f t="shared" si="25"/>
        <v>0</v>
      </c>
      <c r="F34" s="1026">
        <f t="shared" si="25"/>
        <v>0</v>
      </c>
      <c r="G34" s="369">
        <f t="shared" si="25"/>
        <v>214600</v>
      </c>
      <c r="H34" s="1024">
        <f t="shared" si="25"/>
        <v>6465.0396</v>
      </c>
      <c r="I34" s="1025">
        <f t="shared" si="25"/>
        <v>214600</v>
      </c>
      <c r="J34" s="1025">
        <f t="shared" si="25"/>
        <v>6465.0396</v>
      </c>
      <c r="K34" s="1025">
        <f t="shared" si="25"/>
        <v>157776</v>
      </c>
      <c r="L34" s="1025">
        <f t="shared" si="25"/>
        <v>4753.159776</v>
      </c>
      <c r="M34" s="1025">
        <f t="shared" si="25"/>
        <v>0</v>
      </c>
      <c r="N34" s="1025">
        <f t="shared" si="25"/>
        <v>0</v>
      </c>
      <c r="O34" s="1025">
        <f t="shared" si="22"/>
        <v>214600</v>
      </c>
      <c r="P34" s="1508">
        <f t="shared" si="22"/>
        <v>6465.0396</v>
      </c>
      <c r="Q34" s="1024">
        <f t="shared" si="23"/>
        <v>213581</v>
      </c>
      <c r="R34" s="1025">
        <f t="shared" si="23"/>
        <v>6434.341206</v>
      </c>
      <c r="S34" s="1022">
        <f t="shared" si="24"/>
        <v>157776</v>
      </c>
      <c r="T34" s="1025">
        <f t="shared" si="24"/>
        <v>4753.159776</v>
      </c>
      <c r="U34" s="1025">
        <f t="shared" si="24"/>
        <v>0</v>
      </c>
      <c r="V34" s="1026">
        <f t="shared" si="24"/>
        <v>0</v>
      </c>
    </row>
    <row r="35" spans="1:22" s="49" customFormat="1" ht="15" customHeight="1">
      <c r="A35" s="1047"/>
      <c r="B35" s="1048" t="s">
        <v>8</v>
      </c>
      <c r="C35" s="1049">
        <f>C38+C41+C44</f>
        <v>0</v>
      </c>
      <c r="D35" s="1511">
        <f aca="true" t="shared" si="26" ref="D35:N35">D38+D41+D44</f>
        <v>0</v>
      </c>
      <c r="E35" s="1054">
        <f t="shared" si="26"/>
        <v>0</v>
      </c>
      <c r="F35" s="1053">
        <f t="shared" si="26"/>
        <v>0</v>
      </c>
      <c r="G35" s="1084">
        <f t="shared" si="26"/>
        <v>4077393</v>
      </c>
      <c r="H35" s="1051">
        <f t="shared" si="26"/>
        <v>122835.541518</v>
      </c>
      <c r="I35" s="1052">
        <f t="shared" si="26"/>
        <v>4077393</v>
      </c>
      <c r="J35" s="1052">
        <f t="shared" si="26"/>
        <v>122835.541518</v>
      </c>
      <c r="K35" s="1052">
        <f t="shared" si="26"/>
        <v>2997745</v>
      </c>
      <c r="L35" s="1052">
        <f t="shared" si="26"/>
        <v>90310.06587</v>
      </c>
      <c r="M35" s="1052">
        <f t="shared" si="26"/>
        <v>0</v>
      </c>
      <c r="N35" s="1052">
        <f t="shared" si="26"/>
        <v>0</v>
      </c>
      <c r="O35" s="1052">
        <f t="shared" si="22"/>
        <v>4077393</v>
      </c>
      <c r="P35" s="1511">
        <f t="shared" si="22"/>
        <v>122835.541518</v>
      </c>
      <c r="Q35" s="1051">
        <f t="shared" si="23"/>
        <v>4058028</v>
      </c>
      <c r="R35" s="1052">
        <f t="shared" si="23"/>
        <v>122252.15152799999</v>
      </c>
      <c r="S35" s="1049">
        <f t="shared" si="24"/>
        <v>2997745</v>
      </c>
      <c r="T35" s="1052">
        <f t="shared" si="24"/>
        <v>90310.06587</v>
      </c>
      <c r="U35" s="1052">
        <f t="shared" si="24"/>
        <v>0</v>
      </c>
      <c r="V35" s="1053">
        <f t="shared" si="24"/>
        <v>0</v>
      </c>
    </row>
    <row r="36" spans="1:22" s="24" customFormat="1" ht="15" customHeight="1">
      <c r="A36" s="1103"/>
      <c r="B36" s="1104" t="s">
        <v>28</v>
      </c>
      <c r="C36" s="1130">
        <f>SUM(C37:C38)</f>
        <v>0</v>
      </c>
      <c r="D36" s="1586">
        <f>SUM(D37:D38)</f>
        <v>0</v>
      </c>
      <c r="E36" s="2546">
        <f>SUM(E37:E38)</f>
        <v>0</v>
      </c>
      <c r="F36" s="1165">
        <f>SUM(F37:F38)</f>
        <v>0</v>
      </c>
      <c r="G36" s="1163">
        <f>SUM(G37:G38)</f>
        <v>1859577</v>
      </c>
      <c r="H36" s="1132">
        <f aca="true" t="shared" si="27" ref="H36:N36">SUM(H37:H38)</f>
        <v>56021.61670200001</v>
      </c>
      <c r="I36" s="1164">
        <f t="shared" si="27"/>
        <v>1859577</v>
      </c>
      <c r="J36" s="1164">
        <f t="shared" si="27"/>
        <v>56021.61670200001</v>
      </c>
      <c r="K36" s="1164">
        <f t="shared" si="27"/>
        <v>1859577</v>
      </c>
      <c r="L36" s="1164">
        <f t="shared" si="27"/>
        <v>56021.61670200001</v>
      </c>
      <c r="M36" s="1164">
        <f t="shared" si="27"/>
        <v>0</v>
      </c>
      <c r="N36" s="1164">
        <f t="shared" si="27"/>
        <v>0</v>
      </c>
      <c r="O36" s="1164">
        <f aca="true" t="shared" si="28" ref="O36:V36">SUM(O37:O38)</f>
        <v>1859577</v>
      </c>
      <c r="P36" s="1586">
        <f t="shared" si="28"/>
        <v>56021.61670200001</v>
      </c>
      <c r="Q36" s="1132">
        <f t="shared" si="28"/>
        <v>1859577</v>
      </c>
      <c r="R36" s="1164">
        <f t="shared" si="28"/>
        <v>56021.61670200001</v>
      </c>
      <c r="S36" s="1130">
        <f t="shared" si="28"/>
        <v>1859577</v>
      </c>
      <c r="T36" s="1164">
        <f t="shared" si="28"/>
        <v>56021.61670200001</v>
      </c>
      <c r="U36" s="1164">
        <f t="shared" si="28"/>
        <v>0</v>
      </c>
      <c r="V36" s="1165">
        <f t="shared" si="28"/>
        <v>0</v>
      </c>
    </row>
    <row r="37" spans="1:22" ht="15" customHeight="1">
      <c r="A37" s="196"/>
      <c r="B37" s="834" t="s">
        <v>340</v>
      </c>
      <c r="C37" s="1110"/>
      <c r="D37" s="2531"/>
      <c r="E37" s="772"/>
      <c r="F37" s="139"/>
      <c r="G37" s="963">
        <v>92979</v>
      </c>
      <c r="H37" s="35">
        <f>G37*30.126/1000</f>
        <v>2801.0853540000003</v>
      </c>
      <c r="I37" s="9">
        <v>92979</v>
      </c>
      <c r="J37" s="9">
        <f>I37*30.126/1000</f>
        <v>2801.0853540000003</v>
      </c>
      <c r="K37" s="9">
        <v>92979</v>
      </c>
      <c r="L37" s="9">
        <f>K37*30.126/1000</f>
        <v>2801.0853540000003</v>
      </c>
      <c r="M37" s="9"/>
      <c r="N37" s="9"/>
      <c r="O37" s="9">
        <v>92979</v>
      </c>
      <c r="P37" s="382">
        <f>O37*30.126/1000</f>
        <v>2801.0853540000003</v>
      </c>
      <c r="Q37" s="35">
        <v>92979</v>
      </c>
      <c r="R37" s="9">
        <f>Q37*30.126/1000</f>
        <v>2801.0853540000003</v>
      </c>
      <c r="S37" s="782">
        <v>92979</v>
      </c>
      <c r="T37" s="9">
        <f>S37*30.126/1000</f>
        <v>2801.0853540000003</v>
      </c>
      <c r="U37" s="9"/>
      <c r="V37" s="139"/>
    </row>
    <row r="38" spans="1:22" s="49" customFormat="1" ht="15" customHeight="1">
      <c r="A38" s="1133"/>
      <c r="B38" s="1065" t="s">
        <v>341</v>
      </c>
      <c r="C38" s="1134"/>
      <c r="D38" s="2787"/>
      <c r="E38" s="2801"/>
      <c r="F38" s="2802"/>
      <c r="G38" s="1136">
        <v>1766598</v>
      </c>
      <c r="H38" s="1137">
        <f>G38*30.126/1000</f>
        <v>53220.531348000004</v>
      </c>
      <c r="I38" s="1138">
        <v>1766598</v>
      </c>
      <c r="J38" s="1139">
        <f>I38*30.126/1000</f>
        <v>53220.531348000004</v>
      </c>
      <c r="K38" s="1138">
        <v>1766598</v>
      </c>
      <c r="L38" s="1139">
        <f>K38*30.126/1000</f>
        <v>53220.531348000004</v>
      </c>
      <c r="M38" s="1138"/>
      <c r="N38" s="1138"/>
      <c r="O38" s="1138">
        <v>1766598</v>
      </c>
      <c r="P38" s="1587">
        <f>O38*30.126/1000</f>
        <v>53220.531348000004</v>
      </c>
      <c r="Q38" s="1135">
        <v>1766598</v>
      </c>
      <c r="R38" s="1139">
        <f>Q38*30.126/1000</f>
        <v>53220.531348000004</v>
      </c>
      <c r="S38" s="1138">
        <v>1766598</v>
      </c>
      <c r="T38" s="1139">
        <f>S38*30.126/1000</f>
        <v>53220.531348000004</v>
      </c>
      <c r="U38" s="1138"/>
      <c r="V38" s="1140"/>
    </row>
    <row r="39" spans="1:22" s="24" customFormat="1" ht="15" customHeight="1">
      <c r="A39" s="1117"/>
      <c r="B39" s="1118" t="s">
        <v>173</v>
      </c>
      <c r="C39" s="970">
        <f>SUM(C40:C41)</f>
        <v>0</v>
      </c>
      <c r="D39" s="1514">
        <f>SUM(D40:D41)</f>
        <v>0</v>
      </c>
      <c r="E39" s="1843">
        <f>SUM(E40:E41)</f>
        <v>0</v>
      </c>
      <c r="F39" s="965">
        <f>SUM(F40:F41)</f>
        <v>0</v>
      </c>
      <c r="G39" s="1141">
        <f>SUM(G40:G41)</f>
        <v>1943916</v>
      </c>
      <c r="H39" s="1096">
        <f aca="true" t="shared" si="29" ref="H39:N39">SUM(H40:H41)</f>
        <v>58562.413415999996</v>
      </c>
      <c r="I39" s="1097">
        <f t="shared" si="29"/>
        <v>1943916</v>
      </c>
      <c r="J39" s="1097">
        <f t="shared" si="29"/>
        <v>58562.413415999996</v>
      </c>
      <c r="K39" s="1097">
        <f t="shared" si="29"/>
        <v>1295944</v>
      </c>
      <c r="L39" s="1097">
        <f t="shared" si="29"/>
        <v>39041.608944</v>
      </c>
      <c r="M39" s="1097">
        <f t="shared" si="29"/>
        <v>0</v>
      </c>
      <c r="N39" s="1097">
        <f t="shared" si="29"/>
        <v>0</v>
      </c>
      <c r="O39" s="1097">
        <f aca="true" t="shared" si="30" ref="O39:V39">SUM(O40:O41)</f>
        <v>1943916</v>
      </c>
      <c r="P39" s="1514">
        <f t="shared" si="30"/>
        <v>58562.413415999996</v>
      </c>
      <c r="Q39" s="1096">
        <f t="shared" si="30"/>
        <v>1943916</v>
      </c>
      <c r="R39" s="1097">
        <f t="shared" si="30"/>
        <v>58562.413415999996</v>
      </c>
      <c r="S39" s="1097">
        <f t="shared" si="30"/>
        <v>1295944</v>
      </c>
      <c r="T39" s="1097">
        <f t="shared" si="30"/>
        <v>39041.608944</v>
      </c>
      <c r="U39" s="1097">
        <f t="shared" si="30"/>
        <v>0</v>
      </c>
      <c r="V39" s="965">
        <f t="shared" si="30"/>
        <v>0</v>
      </c>
    </row>
    <row r="40" spans="1:22" ht="15" customHeight="1">
      <c r="A40" s="140"/>
      <c r="B40" s="834" t="s">
        <v>340</v>
      </c>
      <c r="C40" s="1110"/>
      <c r="D40" s="2531"/>
      <c r="E40" s="772"/>
      <c r="F40" s="139"/>
      <c r="G40" s="963">
        <v>97196</v>
      </c>
      <c r="H40" s="35">
        <f>G40*30.126/1000</f>
        <v>2928.126696</v>
      </c>
      <c r="I40" s="9">
        <v>97196</v>
      </c>
      <c r="J40" s="9">
        <f>I40*30.126/1000</f>
        <v>2928.126696</v>
      </c>
      <c r="K40" s="9">
        <v>64797</v>
      </c>
      <c r="L40" s="9">
        <f>K40*30.126/1000</f>
        <v>1952.074422</v>
      </c>
      <c r="M40" s="9"/>
      <c r="N40" s="9"/>
      <c r="O40" s="9">
        <v>97196</v>
      </c>
      <c r="P40" s="382">
        <f>O40*30.126/1000</f>
        <v>2928.126696</v>
      </c>
      <c r="Q40" s="35">
        <v>97196</v>
      </c>
      <c r="R40" s="9">
        <f>Q40*30.126/1000</f>
        <v>2928.126696</v>
      </c>
      <c r="S40" s="9">
        <v>64797</v>
      </c>
      <c r="T40" s="9">
        <f>S40*30.126/1000</f>
        <v>1952.074422</v>
      </c>
      <c r="U40" s="9"/>
      <c r="V40" s="139"/>
    </row>
    <row r="41" spans="1:22" s="49" customFormat="1" ht="15" customHeight="1">
      <c r="A41" s="1142"/>
      <c r="B41" s="1143" t="s">
        <v>341</v>
      </c>
      <c r="C41" s="1144"/>
      <c r="D41" s="2788"/>
      <c r="E41" s="2803"/>
      <c r="F41" s="2804"/>
      <c r="G41" s="1146">
        <v>1846720</v>
      </c>
      <c r="H41" s="1137">
        <f>G41*30.126/1000</f>
        <v>55634.28672</v>
      </c>
      <c r="I41" s="1147">
        <v>1846720</v>
      </c>
      <c r="J41" s="1139">
        <f>I41*30.126/1000</f>
        <v>55634.28672</v>
      </c>
      <c r="K41" s="1147">
        <v>1231147</v>
      </c>
      <c r="L41" s="1139">
        <f>K41*30.126/1000</f>
        <v>37089.534522</v>
      </c>
      <c r="M41" s="1147"/>
      <c r="N41" s="1147"/>
      <c r="O41" s="1147">
        <v>1846720</v>
      </c>
      <c r="P41" s="1587">
        <f>O41*30.126/1000</f>
        <v>55634.28672</v>
      </c>
      <c r="Q41" s="1145">
        <v>1846720</v>
      </c>
      <c r="R41" s="1139">
        <f>Q41*30.126/1000</f>
        <v>55634.28672</v>
      </c>
      <c r="S41" s="1147">
        <v>1231147</v>
      </c>
      <c r="T41" s="1139">
        <f>S41*30.126/1000</f>
        <v>37089.534522</v>
      </c>
      <c r="U41" s="1147"/>
      <c r="V41" s="1140"/>
    </row>
    <row r="42" spans="1:22" s="24" customFormat="1" ht="15" customHeight="1">
      <c r="A42" s="1117"/>
      <c r="B42" s="1148" t="s">
        <v>174</v>
      </c>
      <c r="C42" s="1149">
        <f>SUM(C43:C44)</f>
        <v>0</v>
      </c>
      <c r="D42" s="1588">
        <f>SUM(D43:D44)</f>
        <v>0</v>
      </c>
      <c r="E42" s="1151">
        <f>SUM(E43:E44)</f>
        <v>0</v>
      </c>
      <c r="F42" s="1150">
        <f>SUM(F43:F44)</f>
        <v>0</v>
      </c>
      <c r="G42" s="1152">
        <f>SUM(G43:G44)</f>
        <v>488500</v>
      </c>
      <c r="H42" s="1151">
        <f aca="true" t="shared" si="31" ref="H42:N42">SUM(H43:H44)</f>
        <v>14716.551000000001</v>
      </c>
      <c r="I42" s="1153">
        <f t="shared" si="31"/>
        <v>488500</v>
      </c>
      <c r="J42" s="1153">
        <f t="shared" si="31"/>
        <v>14716.551000000001</v>
      </c>
      <c r="K42" s="1153">
        <f t="shared" si="31"/>
        <v>0</v>
      </c>
      <c r="L42" s="1153">
        <f t="shared" si="31"/>
        <v>0</v>
      </c>
      <c r="M42" s="1153">
        <f t="shared" si="31"/>
        <v>0</v>
      </c>
      <c r="N42" s="1153">
        <f t="shared" si="31"/>
        <v>0</v>
      </c>
      <c r="O42" s="1153">
        <f aca="true" t="shared" si="32" ref="O42:V42">SUM(O43:O44)</f>
        <v>488500</v>
      </c>
      <c r="P42" s="1588">
        <f t="shared" si="32"/>
        <v>14716.551000000001</v>
      </c>
      <c r="Q42" s="1151">
        <f t="shared" si="32"/>
        <v>468116</v>
      </c>
      <c r="R42" s="1153">
        <f t="shared" si="32"/>
        <v>14102.462616000003</v>
      </c>
      <c r="S42" s="1153">
        <f t="shared" si="32"/>
        <v>0</v>
      </c>
      <c r="T42" s="1153">
        <f t="shared" si="32"/>
        <v>0</v>
      </c>
      <c r="U42" s="1153">
        <f t="shared" si="32"/>
        <v>0</v>
      </c>
      <c r="V42" s="1703">
        <f t="shared" si="32"/>
        <v>0</v>
      </c>
    </row>
    <row r="43" spans="1:22" ht="15" customHeight="1">
      <c r="A43" s="140"/>
      <c r="B43" s="834" t="s">
        <v>340</v>
      </c>
      <c r="C43" s="1110"/>
      <c r="D43" s="2531"/>
      <c r="E43" s="35"/>
      <c r="F43" s="8"/>
      <c r="G43" s="963">
        <v>24425</v>
      </c>
      <c r="H43" s="35">
        <f>G43*30.126/1000</f>
        <v>735.8275500000001</v>
      </c>
      <c r="I43" s="9">
        <v>24425</v>
      </c>
      <c r="J43" s="9">
        <f>I43*30.126/1000</f>
        <v>735.8275500000001</v>
      </c>
      <c r="K43" s="9"/>
      <c r="L43" s="9"/>
      <c r="M43" s="9"/>
      <c r="N43" s="9"/>
      <c r="O43" s="9">
        <v>24425</v>
      </c>
      <c r="P43" s="382">
        <f>O43*30.126/1000</f>
        <v>735.8275500000001</v>
      </c>
      <c r="Q43" s="35">
        <v>23406</v>
      </c>
      <c r="R43" s="9">
        <f>Q43*30.126/1000</f>
        <v>705.1291560000001</v>
      </c>
      <c r="S43" s="9"/>
      <c r="T43" s="9"/>
      <c r="U43" s="9"/>
      <c r="V43" s="139"/>
    </row>
    <row r="44" spans="1:22" s="49" customFormat="1" ht="15" customHeight="1" thickBot="1">
      <c r="A44" s="1154"/>
      <c r="B44" s="1073" t="s">
        <v>341</v>
      </c>
      <c r="C44" s="1155"/>
      <c r="D44" s="2789"/>
      <c r="E44" s="1297"/>
      <c r="F44" s="1157"/>
      <c r="G44" s="1158">
        <v>464075</v>
      </c>
      <c r="H44" s="1159">
        <f>G44*30.126/1000</f>
        <v>13980.723450000001</v>
      </c>
      <c r="I44" s="1160">
        <v>464075</v>
      </c>
      <c r="J44" s="1161">
        <f>I44*30.126/1000</f>
        <v>13980.723450000001</v>
      </c>
      <c r="K44" s="1160"/>
      <c r="L44" s="1160"/>
      <c r="M44" s="1160"/>
      <c r="N44" s="1160"/>
      <c r="O44" s="1160">
        <v>464075</v>
      </c>
      <c r="P44" s="1589">
        <f>O44*30.126/1000</f>
        <v>13980.723450000001</v>
      </c>
      <c r="Q44" s="1297">
        <v>444710</v>
      </c>
      <c r="R44" s="1161">
        <f>Q44*30.126/1000</f>
        <v>13397.333460000002</v>
      </c>
      <c r="S44" s="1160"/>
      <c r="T44" s="1161"/>
      <c r="U44" s="1160"/>
      <c r="V44" s="1162"/>
    </row>
    <row r="45" spans="1:22" s="6" customFormat="1" ht="19.5" customHeight="1" thickBot="1">
      <c r="A45" s="16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R45" s="4"/>
      <c r="S45" s="4"/>
      <c r="T45" s="4"/>
      <c r="U45" s="4"/>
      <c r="V45" s="4"/>
    </row>
    <row r="46" spans="1:22" s="23" customFormat="1" ht="39.75" customHeight="1" thickTop="1">
      <c r="A46" s="2872"/>
      <c r="B46" s="2893"/>
      <c r="C46" s="539" t="s">
        <v>506</v>
      </c>
      <c r="D46" s="2314" t="s">
        <v>507</v>
      </c>
      <c r="E46" s="2839" t="s">
        <v>184</v>
      </c>
      <c r="F46" s="2840"/>
      <c r="G46" s="460" t="s">
        <v>510</v>
      </c>
      <c r="H46" s="496" t="s">
        <v>510</v>
      </c>
      <c r="I46" s="497" t="s">
        <v>87</v>
      </c>
      <c r="J46" s="497" t="s">
        <v>87</v>
      </c>
      <c r="K46" s="2870" t="s">
        <v>509</v>
      </c>
      <c r="L46" s="2870"/>
      <c r="M46" s="2870" t="s">
        <v>508</v>
      </c>
      <c r="N46" s="2870"/>
      <c r="O46" s="498" t="s">
        <v>952</v>
      </c>
      <c r="P46" s="1571" t="s">
        <v>952</v>
      </c>
      <c r="Q46" s="2901" t="s">
        <v>183</v>
      </c>
      <c r="R46" s="2902"/>
      <c r="S46" s="2892" t="s">
        <v>725</v>
      </c>
      <c r="T46" s="2875"/>
      <c r="U46" s="2875" t="s">
        <v>726</v>
      </c>
      <c r="V46" s="2878"/>
    </row>
    <row r="47" spans="1:22" s="24" customFormat="1" ht="15" customHeight="1" thickBot="1">
      <c r="A47" s="2856"/>
      <c r="B47" s="2894"/>
      <c r="C47" s="540" t="s">
        <v>966</v>
      </c>
      <c r="D47" s="2315" t="s">
        <v>966</v>
      </c>
      <c r="E47" s="2318" t="s">
        <v>435</v>
      </c>
      <c r="F47" s="2234" t="s">
        <v>966</v>
      </c>
      <c r="G47" s="461" t="s">
        <v>435</v>
      </c>
      <c r="H47" s="352" t="s">
        <v>966</v>
      </c>
      <c r="I47" s="499" t="s">
        <v>435</v>
      </c>
      <c r="J47" s="499" t="s">
        <v>966</v>
      </c>
      <c r="K47" s="241" t="s">
        <v>435</v>
      </c>
      <c r="L47" s="241" t="s">
        <v>966</v>
      </c>
      <c r="M47" s="241" t="s">
        <v>435</v>
      </c>
      <c r="N47" s="241" t="s">
        <v>966</v>
      </c>
      <c r="O47" s="500" t="s">
        <v>435</v>
      </c>
      <c r="P47" s="1572" t="s">
        <v>966</v>
      </c>
      <c r="Q47" s="240" t="s">
        <v>435</v>
      </c>
      <c r="R47" s="981" t="s">
        <v>966</v>
      </c>
      <c r="S47" s="797" t="s">
        <v>435</v>
      </c>
      <c r="T47" s="241" t="s">
        <v>966</v>
      </c>
      <c r="U47" s="241" t="s">
        <v>435</v>
      </c>
      <c r="V47" s="796" t="s">
        <v>966</v>
      </c>
    </row>
    <row r="48" spans="1:22" s="23" customFormat="1" ht="19.5" customHeight="1">
      <c r="A48" s="1666" t="s">
        <v>349</v>
      </c>
      <c r="B48" s="1704" t="s">
        <v>12</v>
      </c>
      <c r="C48" s="821">
        <f>C4+C21</f>
        <v>59676</v>
      </c>
      <c r="D48" s="1685">
        <f aca="true" t="shared" si="33" ref="D48:N48">D4+D21</f>
        <v>69069</v>
      </c>
      <c r="E48" s="2319">
        <f t="shared" si="33"/>
        <v>2350743</v>
      </c>
      <c r="F48" s="2320">
        <f t="shared" si="33"/>
        <v>70818.483618</v>
      </c>
      <c r="G48" s="493">
        <f t="shared" si="33"/>
        <v>6711694</v>
      </c>
      <c r="H48" s="502">
        <f t="shared" si="33"/>
        <v>202196.204802</v>
      </c>
      <c r="I48" s="487">
        <f t="shared" si="33"/>
        <v>6711694</v>
      </c>
      <c r="J48" s="487">
        <f t="shared" si="33"/>
        <v>202196.204802</v>
      </c>
      <c r="K48" s="487">
        <f t="shared" si="33"/>
        <v>5599563</v>
      </c>
      <c r="L48" s="487">
        <f t="shared" si="33"/>
        <v>168692.146296</v>
      </c>
      <c r="M48" s="487">
        <f t="shared" si="33"/>
        <v>2414703</v>
      </c>
      <c r="N48" s="487">
        <f t="shared" si="33"/>
        <v>72745.34257800001</v>
      </c>
      <c r="O48" s="487">
        <f aca="true" t="shared" si="34" ref="O48:V48">O4+O21</f>
        <v>6711694</v>
      </c>
      <c r="P48" s="1606">
        <f t="shared" si="34"/>
        <v>202196.204802</v>
      </c>
      <c r="Q48" s="555">
        <f t="shared" si="34"/>
        <v>6711504</v>
      </c>
      <c r="R48" s="488">
        <f t="shared" si="34"/>
        <v>202190.48086200003</v>
      </c>
      <c r="S48" s="541">
        <f t="shared" si="34"/>
        <v>5595416</v>
      </c>
      <c r="T48" s="487">
        <f t="shared" si="34"/>
        <v>168567.502416</v>
      </c>
      <c r="U48" s="487">
        <f t="shared" si="34"/>
        <v>2374256</v>
      </c>
      <c r="V48" s="503">
        <f t="shared" si="34"/>
        <v>71526.83625600001</v>
      </c>
    </row>
    <row r="49" spans="1:22" ht="15" customHeight="1">
      <c r="A49" s="1668"/>
      <c r="B49" s="1705" t="s">
        <v>965</v>
      </c>
      <c r="C49" s="822">
        <f>C5+C24</f>
        <v>59676</v>
      </c>
      <c r="D49" s="1686">
        <f aca="true" t="shared" si="35" ref="D49:N49">D5+D24</f>
        <v>64270</v>
      </c>
      <c r="E49" s="2321">
        <f t="shared" si="35"/>
        <v>2327175</v>
      </c>
      <c r="F49" s="2322">
        <f t="shared" si="35"/>
        <v>70108.47405</v>
      </c>
      <c r="G49" s="494">
        <f t="shared" si="35"/>
        <v>2393701</v>
      </c>
      <c r="H49" s="504">
        <f t="shared" si="35"/>
        <v>72112.34768400001</v>
      </c>
      <c r="I49" s="489">
        <f t="shared" si="35"/>
        <v>2393701</v>
      </c>
      <c r="J49" s="489">
        <f t="shared" si="35"/>
        <v>72112.34768400001</v>
      </c>
      <c r="K49" s="489">
        <f t="shared" si="35"/>
        <v>2444042</v>
      </c>
      <c r="L49" s="489">
        <f t="shared" si="35"/>
        <v>73628.92065</v>
      </c>
      <c r="M49" s="489">
        <f t="shared" si="35"/>
        <v>2414703</v>
      </c>
      <c r="N49" s="489">
        <f t="shared" si="35"/>
        <v>72745.34257800001</v>
      </c>
      <c r="O49" s="489">
        <f aca="true" t="shared" si="36" ref="O49:V49">O5+O24</f>
        <v>2393701</v>
      </c>
      <c r="P49" s="1607">
        <f t="shared" si="36"/>
        <v>72112.34768400001</v>
      </c>
      <c r="Q49" s="556">
        <f t="shared" si="36"/>
        <v>2393701</v>
      </c>
      <c r="R49" s="490">
        <f t="shared" si="36"/>
        <v>72112.34768400001</v>
      </c>
      <c r="S49" s="542">
        <f t="shared" si="36"/>
        <v>2393701</v>
      </c>
      <c r="T49" s="489">
        <f t="shared" si="36"/>
        <v>72112.636326</v>
      </c>
      <c r="U49" s="489">
        <f t="shared" si="36"/>
        <v>2328062</v>
      </c>
      <c r="V49" s="505">
        <f t="shared" si="36"/>
        <v>70135.195812</v>
      </c>
    </row>
    <row r="50" spans="1:22" ht="15" customHeight="1" thickBot="1">
      <c r="A50" s="1670"/>
      <c r="B50" s="1706" t="s">
        <v>967</v>
      </c>
      <c r="C50" s="823">
        <f>C13+C33</f>
        <v>0</v>
      </c>
      <c r="D50" s="1775">
        <f aca="true" t="shared" si="37" ref="D50:N50">D13+D33</f>
        <v>4799</v>
      </c>
      <c r="E50" s="2323">
        <f t="shared" si="37"/>
        <v>23568</v>
      </c>
      <c r="F50" s="2324">
        <f t="shared" si="37"/>
        <v>710.009568</v>
      </c>
      <c r="G50" s="495">
        <f t="shared" si="37"/>
        <v>4317993</v>
      </c>
      <c r="H50" s="506">
        <f t="shared" si="37"/>
        <v>130083.857118</v>
      </c>
      <c r="I50" s="491">
        <f t="shared" si="37"/>
        <v>4317993</v>
      </c>
      <c r="J50" s="491">
        <f t="shared" si="37"/>
        <v>130083.857118</v>
      </c>
      <c r="K50" s="491">
        <f t="shared" si="37"/>
        <v>3155521</v>
      </c>
      <c r="L50" s="491">
        <f t="shared" si="37"/>
        <v>95063.225646</v>
      </c>
      <c r="M50" s="491">
        <f t="shared" si="37"/>
        <v>0</v>
      </c>
      <c r="N50" s="491">
        <f t="shared" si="37"/>
        <v>0</v>
      </c>
      <c r="O50" s="491">
        <f aca="true" t="shared" si="38" ref="O50:V50">O13+O33</f>
        <v>4317993</v>
      </c>
      <c r="P50" s="1608">
        <f t="shared" si="38"/>
        <v>130083.857118</v>
      </c>
      <c r="Q50" s="982">
        <f t="shared" si="38"/>
        <v>4317803</v>
      </c>
      <c r="R50" s="983">
        <f t="shared" si="38"/>
        <v>130078.133178</v>
      </c>
      <c r="S50" s="543">
        <f t="shared" si="38"/>
        <v>3201715</v>
      </c>
      <c r="T50" s="491">
        <f t="shared" si="38"/>
        <v>96454.86609000001</v>
      </c>
      <c r="U50" s="491">
        <f t="shared" si="38"/>
        <v>46194</v>
      </c>
      <c r="V50" s="507">
        <f t="shared" si="38"/>
        <v>1391.6404440000001</v>
      </c>
    </row>
  </sheetData>
  <sheetProtection/>
  <mergeCells count="21">
    <mergeCell ref="Q2:R2"/>
    <mergeCell ref="Q19:R19"/>
    <mergeCell ref="M2:N2"/>
    <mergeCell ref="M46:N46"/>
    <mergeCell ref="M19:N19"/>
    <mergeCell ref="Q46:R46"/>
    <mergeCell ref="A46:B47"/>
    <mergeCell ref="A19:B20"/>
    <mergeCell ref="A2:B3"/>
    <mergeCell ref="K46:L46"/>
    <mergeCell ref="K19:L19"/>
    <mergeCell ref="E2:F2"/>
    <mergeCell ref="E19:F19"/>
    <mergeCell ref="K2:L2"/>
    <mergeCell ref="E46:F46"/>
    <mergeCell ref="U2:V2"/>
    <mergeCell ref="U19:V19"/>
    <mergeCell ref="U46:V46"/>
    <mergeCell ref="S2:T2"/>
    <mergeCell ref="S19:T19"/>
    <mergeCell ref="S46:T46"/>
  </mergeCells>
  <printOptions horizontalCentered="1"/>
  <pageMargins left="0" right="0.7874015748031497" top="1.1811023622047245" bottom="1.3779527559055118" header="0" footer="0"/>
  <pageSetup horizontalDpi="600" verticalDpi="600" orientation="landscape" paperSize="9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C42"/>
  <sheetViews>
    <sheetView showGridLines="0" zoomScalePageLayoutView="0" workbookViewId="0" topLeftCell="A1">
      <pane xSplit="2" ySplit="3" topLeftCell="E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37" sqref="Q37"/>
    </sheetView>
  </sheetViews>
  <sheetFormatPr defaultColWidth="9.140625" defaultRowHeight="12.75"/>
  <cols>
    <col min="1" max="1" width="7.7109375" style="16" customWidth="1"/>
    <col min="2" max="2" width="60.57421875" style="6" bestFit="1" customWidth="1"/>
    <col min="3" max="4" width="10.7109375" style="275" hidden="1" customWidth="1"/>
    <col min="5" max="5" width="10.7109375" style="6" customWidth="1"/>
    <col min="6" max="6" width="10.7109375" style="4" customWidth="1"/>
    <col min="7" max="16" width="10.7109375" style="6" hidden="1" customWidth="1"/>
    <col min="17" max="22" width="10.7109375" style="6" customWidth="1"/>
    <col min="23" max="16384" width="9.140625" style="6" customWidth="1"/>
  </cols>
  <sheetData>
    <row r="1" spans="1:29" s="1" customFormat="1" ht="19.5" customHeight="1" hidden="1" thickBot="1">
      <c r="A1" s="237" t="s">
        <v>1122</v>
      </c>
      <c r="C1" s="264"/>
      <c r="D1" s="264"/>
      <c r="E1" s="265"/>
      <c r="F1" s="266"/>
      <c r="G1" s="264"/>
      <c r="H1" s="26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2" s="23" customFormat="1" ht="39.75" customHeight="1" thickTop="1">
      <c r="A2" s="2897"/>
      <c r="B2" s="2898"/>
      <c r="C2" s="539" t="s">
        <v>506</v>
      </c>
      <c r="D2" s="2314" t="s">
        <v>507</v>
      </c>
      <c r="E2" s="2839" t="s">
        <v>184</v>
      </c>
      <c r="F2" s="2840"/>
      <c r="G2" s="1173" t="s">
        <v>510</v>
      </c>
      <c r="H2" s="1166" t="s">
        <v>510</v>
      </c>
      <c r="I2" s="1002" t="s">
        <v>87</v>
      </c>
      <c r="J2" s="1002" t="s">
        <v>87</v>
      </c>
      <c r="K2" s="2870" t="s">
        <v>509</v>
      </c>
      <c r="L2" s="2870"/>
      <c r="M2" s="2870" t="s">
        <v>508</v>
      </c>
      <c r="N2" s="2870"/>
      <c r="O2" s="1003" t="s">
        <v>952</v>
      </c>
      <c r="P2" s="1546" t="s">
        <v>952</v>
      </c>
      <c r="Q2" s="2901" t="s">
        <v>183</v>
      </c>
      <c r="R2" s="2902"/>
      <c r="S2" s="2892" t="s">
        <v>725</v>
      </c>
      <c r="T2" s="2875"/>
      <c r="U2" s="2875" t="s">
        <v>726</v>
      </c>
      <c r="V2" s="2878"/>
    </row>
    <row r="3" spans="1:22" s="24" customFormat="1" ht="15" customHeight="1" thickBot="1">
      <c r="A3" s="2903"/>
      <c r="B3" s="2904"/>
      <c r="C3" s="540" t="s">
        <v>966</v>
      </c>
      <c r="D3" s="2315" t="s">
        <v>966</v>
      </c>
      <c r="E3" s="2318" t="s">
        <v>435</v>
      </c>
      <c r="F3" s="2234" t="s">
        <v>966</v>
      </c>
      <c r="G3" s="571" t="s">
        <v>435</v>
      </c>
      <c r="H3" s="240" t="s">
        <v>966</v>
      </c>
      <c r="I3" s="1005" t="s">
        <v>435</v>
      </c>
      <c r="J3" s="1005" t="s">
        <v>966</v>
      </c>
      <c r="K3" s="241" t="s">
        <v>435</v>
      </c>
      <c r="L3" s="241" t="s">
        <v>966</v>
      </c>
      <c r="M3" s="241" t="s">
        <v>435</v>
      </c>
      <c r="N3" s="241" t="s">
        <v>966</v>
      </c>
      <c r="O3" s="1006" t="s">
        <v>435</v>
      </c>
      <c r="P3" s="1547" t="s">
        <v>966</v>
      </c>
      <c r="Q3" s="240" t="s">
        <v>435</v>
      </c>
      <c r="R3" s="981" t="s">
        <v>966</v>
      </c>
      <c r="S3" s="797" t="s">
        <v>435</v>
      </c>
      <c r="T3" s="241" t="s">
        <v>966</v>
      </c>
      <c r="U3" s="241" t="s">
        <v>435</v>
      </c>
      <c r="V3" s="796" t="s">
        <v>966</v>
      </c>
    </row>
    <row r="4" spans="1:22" s="23" customFormat="1" ht="19.5" customHeight="1">
      <c r="A4" s="164">
        <v>4</v>
      </c>
      <c r="B4" s="1691" t="s">
        <v>1036</v>
      </c>
      <c r="C4" s="842">
        <f>C5+C9</f>
        <v>71844</v>
      </c>
      <c r="D4" s="2285">
        <f>D5+D9</f>
        <v>83543</v>
      </c>
      <c r="E4" s="2713">
        <f>E5+E9</f>
        <v>376113</v>
      </c>
      <c r="F4" s="2714">
        <f>F5+F9</f>
        <v>11330.762454000002</v>
      </c>
      <c r="G4" s="530">
        <f>G5+G9</f>
        <v>253000</v>
      </c>
      <c r="H4" s="242">
        <f aca="true" t="shared" si="0" ref="H4:N4">H5+H9</f>
        <v>7621.878000000001</v>
      </c>
      <c r="I4" s="243">
        <f t="shared" si="0"/>
        <v>253000</v>
      </c>
      <c r="J4" s="243">
        <f t="shared" si="0"/>
        <v>7621.878000000001</v>
      </c>
      <c r="K4" s="243">
        <f t="shared" si="0"/>
        <v>0</v>
      </c>
      <c r="L4" s="243">
        <f t="shared" si="0"/>
        <v>0</v>
      </c>
      <c r="M4" s="243">
        <f t="shared" si="0"/>
        <v>0</v>
      </c>
      <c r="N4" s="243">
        <f t="shared" si="0"/>
        <v>0</v>
      </c>
      <c r="O4" s="243">
        <f aca="true" t="shared" si="1" ref="O4:V4">O5+O9</f>
        <v>253000</v>
      </c>
      <c r="P4" s="1548">
        <f t="shared" si="1"/>
        <v>7621.878000000001</v>
      </c>
      <c r="Q4" s="242">
        <f t="shared" si="1"/>
        <v>191521</v>
      </c>
      <c r="R4" s="763">
        <f t="shared" si="1"/>
        <v>5769.761646</v>
      </c>
      <c r="S4" s="2380">
        <f t="shared" si="1"/>
        <v>191521</v>
      </c>
      <c r="T4" s="243">
        <f t="shared" si="1"/>
        <v>5769.761646</v>
      </c>
      <c r="U4" s="243">
        <f t="shared" si="1"/>
        <v>191521</v>
      </c>
      <c r="V4" s="285">
        <f t="shared" si="1"/>
        <v>5769.761646</v>
      </c>
    </row>
    <row r="5" spans="1:22" s="30" customFormat="1" ht="19.5" customHeight="1">
      <c r="A5" s="165" t="s">
        <v>465</v>
      </c>
      <c r="B5" s="1692" t="s">
        <v>965</v>
      </c>
      <c r="C5" s="843">
        <f>SUM(C6:C8)</f>
        <v>442</v>
      </c>
      <c r="D5" s="1573">
        <f>SUM(D6:D8)</f>
        <v>41</v>
      </c>
      <c r="E5" s="2715">
        <f>SUM(E6:E8)</f>
        <v>25551</v>
      </c>
      <c r="F5" s="2716">
        <f>SUM(F6:F8)</f>
        <v>769.749426</v>
      </c>
      <c r="G5" s="464">
        <f>SUM(G6:G8)</f>
        <v>0</v>
      </c>
      <c r="H5" s="245">
        <f aca="true" t="shared" si="2" ref="H5:N5">SUM(H6:H8)</f>
        <v>0</v>
      </c>
      <c r="I5" s="246">
        <f t="shared" si="2"/>
        <v>0</v>
      </c>
      <c r="J5" s="246">
        <f t="shared" si="2"/>
        <v>0</v>
      </c>
      <c r="K5" s="246">
        <f t="shared" si="2"/>
        <v>0</v>
      </c>
      <c r="L5" s="246">
        <f t="shared" si="2"/>
        <v>0</v>
      </c>
      <c r="M5" s="246">
        <f t="shared" si="2"/>
        <v>0</v>
      </c>
      <c r="N5" s="246">
        <f t="shared" si="2"/>
        <v>0</v>
      </c>
      <c r="O5" s="246">
        <f>SUM(O6:O8)</f>
        <v>0</v>
      </c>
      <c r="P5" s="1550">
        <f>SUM(P6:P8)</f>
        <v>0</v>
      </c>
      <c r="Q5" s="245">
        <f>SUM(Q6:Q8)</f>
        <v>25551</v>
      </c>
      <c r="R5" s="764">
        <f>SUM(R6:R8)</f>
        <v>769.749426</v>
      </c>
      <c r="S5" s="2383">
        <v>25551</v>
      </c>
      <c r="T5" s="246">
        <f>S5*30.126/1000</f>
        <v>769.749426</v>
      </c>
      <c r="U5" s="246">
        <v>25551</v>
      </c>
      <c r="V5" s="255">
        <f>U5*30.126/1000</f>
        <v>769.749426</v>
      </c>
    </row>
    <row r="6" spans="1:22" ht="15" customHeight="1">
      <c r="A6" s="166"/>
      <c r="B6" s="1697" t="s">
        <v>383</v>
      </c>
      <c r="C6" s="844"/>
      <c r="D6" s="2751"/>
      <c r="E6" s="2759">
        <v>25551</v>
      </c>
      <c r="F6" s="2279">
        <f>(E6*30.126)/1000</f>
        <v>769.749426</v>
      </c>
      <c r="G6" s="465"/>
      <c r="H6" s="353"/>
      <c r="I6" s="576"/>
      <c r="J6" s="576"/>
      <c r="K6" s="258"/>
      <c r="L6" s="258"/>
      <c r="M6" s="258"/>
      <c r="N6" s="258"/>
      <c r="O6" s="576"/>
      <c r="P6" s="1590"/>
      <c r="Q6" s="984">
        <v>25551</v>
      </c>
      <c r="R6" s="259">
        <f>Q6*30.126/1000</f>
        <v>769.749426</v>
      </c>
      <c r="S6" s="2289"/>
      <c r="T6" s="258"/>
      <c r="U6" s="258"/>
      <c r="V6" s="302"/>
    </row>
    <row r="7" spans="1:22" ht="15" customHeight="1" hidden="1">
      <c r="A7" s="136"/>
      <c r="B7" s="1697" t="s">
        <v>561</v>
      </c>
      <c r="C7" s="845">
        <v>442</v>
      </c>
      <c r="D7" s="2726"/>
      <c r="E7" s="2760"/>
      <c r="F7" s="2761"/>
      <c r="G7" s="446"/>
      <c r="H7" s="354"/>
      <c r="I7" s="342"/>
      <c r="J7" s="342"/>
      <c r="K7" s="249"/>
      <c r="L7" s="249"/>
      <c r="M7" s="249"/>
      <c r="N7" s="249"/>
      <c r="O7" s="342"/>
      <c r="P7" s="1591"/>
      <c r="Q7" s="1708"/>
      <c r="R7" s="2777"/>
      <c r="S7" s="2384"/>
      <c r="T7" s="342"/>
      <c r="U7" s="342"/>
      <c r="V7" s="572"/>
    </row>
    <row r="8" spans="1:22" ht="15" customHeight="1" hidden="1">
      <c r="A8" s="167"/>
      <c r="B8" s="1711" t="s">
        <v>1037</v>
      </c>
      <c r="C8" s="846"/>
      <c r="D8" s="2752">
        <v>41</v>
      </c>
      <c r="E8" s="2762"/>
      <c r="F8" s="2280"/>
      <c r="G8" s="445"/>
      <c r="H8" s="355"/>
      <c r="I8" s="577"/>
      <c r="J8" s="577"/>
      <c r="K8" s="341"/>
      <c r="L8" s="341"/>
      <c r="M8" s="341"/>
      <c r="N8" s="341"/>
      <c r="O8" s="577"/>
      <c r="P8" s="1592"/>
      <c r="Q8" s="1709"/>
      <c r="R8" s="2778"/>
      <c r="S8" s="2773"/>
      <c r="T8" s="577"/>
      <c r="U8" s="577"/>
      <c r="V8" s="573"/>
    </row>
    <row r="9" spans="1:22" s="30" customFormat="1" ht="19.5" customHeight="1">
      <c r="A9" s="165" t="s">
        <v>466</v>
      </c>
      <c r="B9" s="1692" t="s">
        <v>967</v>
      </c>
      <c r="C9" s="843">
        <f>C10+C12+C13+C14+C19</f>
        <v>71402</v>
      </c>
      <c r="D9" s="1573">
        <f>D10+D12+D13+D14+D19</f>
        <v>83502</v>
      </c>
      <c r="E9" s="2715">
        <f>E10+E13+E14+E19</f>
        <v>350562</v>
      </c>
      <c r="F9" s="2716">
        <f>F10+F13+F14+F19</f>
        <v>10561.013028000001</v>
      </c>
      <c r="G9" s="464">
        <f aca="true" t="shared" si="3" ref="G9:N9">G10+G11+G12+G13+G14+G19</f>
        <v>253000</v>
      </c>
      <c r="H9" s="245">
        <f t="shared" si="3"/>
        <v>7621.878000000001</v>
      </c>
      <c r="I9" s="246">
        <f t="shared" si="3"/>
        <v>253000</v>
      </c>
      <c r="J9" s="246">
        <f t="shared" si="3"/>
        <v>7621.878000000001</v>
      </c>
      <c r="K9" s="246">
        <f t="shared" si="3"/>
        <v>0</v>
      </c>
      <c r="L9" s="246">
        <f t="shared" si="3"/>
        <v>0</v>
      </c>
      <c r="M9" s="246">
        <f t="shared" si="3"/>
        <v>0</v>
      </c>
      <c r="N9" s="246">
        <f t="shared" si="3"/>
        <v>0</v>
      </c>
      <c r="O9" s="246">
        <f>O10+O11+O12+O13+O14+O19</f>
        <v>253000</v>
      </c>
      <c r="P9" s="1550">
        <f>P10+P11+P12+P13+P14+P19</f>
        <v>7621.878000000001</v>
      </c>
      <c r="Q9" s="245">
        <f>Q10+Q11+Q12+Q13+Q14+Q19</f>
        <v>165970</v>
      </c>
      <c r="R9" s="764">
        <f>R10+R11+R12+R13+R14+R19</f>
        <v>5000.01222</v>
      </c>
      <c r="S9" s="2383">
        <v>165970</v>
      </c>
      <c r="T9" s="246">
        <f>S9*30.126/1000</f>
        <v>5000.01222</v>
      </c>
      <c r="U9" s="246">
        <v>165970</v>
      </c>
      <c r="V9" s="255">
        <f>U9*30.126/1000</f>
        <v>5000.01222</v>
      </c>
    </row>
    <row r="10" spans="1:22" s="26" customFormat="1" ht="15" customHeight="1" hidden="1">
      <c r="A10" s="135"/>
      <c r="B10" s="1712" t="s">
        <v>1038</v>
      </c>
      <c r="C10" s="847">
        <v>11057</v>
      </c>
      <c r="D10" s="2753">
        <v>17198</v>
      </c>
      <c r="E10" s="2763"/>
      <c r="F10" s="2764"/>
      <c r="G10" s="2755"/>
      <c r="H10" s="356"/>
      <c r="I10" s="578"/>
      <c r="J10" s="578"/>
      <c r="K10" s="270"/>
      <c r="L10" s="270"/>
      <c r="M10" s="270"/>
      <c r="N10" s="270"/>
      <c r="O10" s="578"/>
      <c r="P10" s="1593"/>
      <c r="Q10" s="1710"/>
      <c r="R10" s="2779"/>
      <c r="S10" s="2774"/>
      <c r="T10" s="578"/>
      <c r="U10" s="578"/>
      <c r="V10" s="574"/>
    </row>
    <row r="11" spans="1:22" s="26" customFormat="1" ht="15" customHeight="1" hidden="1">
      <c r="A11" s="121"/>
      <c r="B11" s="1713" t="s">
        <v>319</v>
      </c>
      <c r="C11" s="844"/>
      <c r="D11" s="2751"/>
      <c r="E11" s="2765"/>
      <c r="F11" s="2766"/>
      <c r="G11" s="2756">
        <v>20000</v>
      </c>
      <c r="H11" s="357">
        <f>G11*30.126/1000</f>
        <v>602.52</v>
      </c>
      <c r="I11" s="340">
        <v>20000</v>
      </c>
      <c r="J11" s="340">
        <f>I11*30.126/1000</f>
        <v>602.52</v>
      </c>
      <c r="K11" s="340"/>
      <c r="L11" s="340"/>
      <c r="M11" s="340"/>
      <c r="N11" s="340"/>
      <c r="O11" s="340">
        <v>20000</v>
      </c>
      <c r="P11" s="1594">
        <f>O11*30.126/1000</f>
        <v>602.52</v>
      </c>
      <c r="Q11" s="1167"/>
      <c r="R11" s="1168"/>
      <c r="S11" s="2775"/>
      <c r="T11" s="340"/>
      <c r="U11" s="340"/>
      <c r="V11" s="344"/>
    </row>
    <row r="12" spans="1:22" s="26" customFormat="1" ht="15" customHeight="1" hidden="1">
      <c r="A12" s="168"/>
      <c r="B12" s="1697" t="s">
        <v>559</v>
      </c>
      <c r="C12" s="848"/>
      <c r="D12" s="1636">
        <v>258</v>
      </c>
      <c r="E12" s="2767"/>
      <c r="F12" s="2768"/>
      <c r="G12" s="2757"/>
      <c r="H12" s="358"/>
      <c r="I12" s="271"/>
      <c r="J12" s="272"/>
      <c r="K12" s="272"/>
      <c r="L12" s="272"/>
      <c r="M12" s="271"/>
      <c r="N12" s="272"/>
      <c r="O12" s="271"/>
      <c r="P12" s="1595"/>
      <c r="Q12" s="1169"/>
      <c r="R12" s="2780"/>
      <c r="S12" s="2485"/>
      <c r="T12" s="272"/>
      <c r="U12" s="271"/>
      <c r="V12" s="345"/>
    </row>
    <row r="13" spans="1:22" s="26" customFormat="1" ht="15" customHeight="1">
      <c r="A13" s="168"/>
      <c r="B13" s="1697" t="s">
        <v>1039</v>
      </c>
      <c r="C13" s="845">
        <v>57374</v>
      </c>
      <c r="D13" s="2726">
        <v>62444</v>
      </c>
      <c r="E13" s="2767">
        <v>126502</v>
      </c>
      <c r="F13" s="2768">
        <v>3811</v>
      </c>
      <c r="G13" s="615"/>
      <c r="H13" s="359"/>
      <c r="I13" s="271"/>
      <c r="J13" s="271"/>
      <c r="K13" s="271"/>
      <c r="L13" s="271"/>
      <c r="M13" s="271"/>
      <c r="N13" s="271"/>
      <c r="O13" s="271"/>
      <c r="P13" s="1596"/>
      <c r="Q13" s="1169"/>
      <c r="R13" s="1170"/>
      <c r="S13" s="2485"/>
      <c r="T13" s="271"/>
      <c r="U13" s="271"/>
      <c r="V13" s="325"/>
    </row>
    <row r="14" spans="1:22" s="26" customFormat="1" ht="15" customHeight="1">
      <c r="A14" s="168"/>
      <c r="B14" s="1697" t="s">
        <v>1040</v>
      </c>
      <c r="C14" s="845">
        <v>2971</v>
      </c>
      <c r="D14" s="2726">
        <f>SUM(D15:D18)</f>
        <v>1228</v>
      </c>
      <c r="E14" s="2767">
        <f>SUM(E15:E18)</f>
        <v>13278</v>
      </c>
      <c r="F14" s="2768">
        <f aca="true" t="shared" si="4" ref="F14:N14">SUM(F15:F18)</f>
        <v>400.01302799999996</v>
      </c>
      <c r="G14" s="615">
        <f t="shared" si="4"/>
        <v>0</v>
      </c>
      <c r="H14" s="359">
        <f t="shared" si="4"/>
        <v>0</v>
      </c>
      <c r="I14" s="271">
        <f t="shared" si="4"/>
        <v>0</v>
      </c>
      <c r="J14" s="271">
        <f t="shared" si="4"/>
        <v>0</v>
      </c>
      <c r="K14" s="271">
        <f t="shared" si="4"/>
        <v>0</v>
      </c>
      <c r="L14" s="271">
        <f t="shared" si="4"/>
        <v>0</v>
      </c>
      <c r="M14" s="271">
        <f t="shared" si="4"/>
        <v>0</v>
      </c>
      <c r="N14" s="271">
        <f t="shared" si="4"/>
        <v>0</v>
      </c>
      <c r="O14" s="271">
        <f>SUM(O15:O18)</f>
        <v>0</v>
      </c>
      <c r="P14" s="1596">
        <f>SUM(P15:P18)</f>
        <v>0</v>
      </c>
      <c r="Q14" s="1169"/>
      <c r="R14" s="1170"/>
      <c r="S14" s="2485"/>
      <c r="T14" s="271"/>
      <c r="U14" s="271"/>
      <c r="V14" s="325"/>
    </row>
    <row r="15" spans="1:22" s="26" customFormat="1" ht="15" customHeight="1">
      <c r="A15" s="168"/>
      <c r="B15" s="1694" t="s">
        <v>467</v>
      </c>
      <c r="C15" s="848"/>
      <c r="D15" s="1636"/>
      <c r="E15" s="2767">
        <v>13278</v>
      </c>
      <c r="F15" s="2768">
        <f aca="true" t="shared" si="5" ref="F15:F24">(E15*30.126)/1000</f>
        <v>400.01302799999996</v>
      </c>
      <c r="G15" s="615"/>
      <c r="H15" s="359"/>
      <c r="I15" s="271"/>
      <c r="J15" s="271"/>
      <c r="K15" s="271"/>
      <c r="L15" s="271"/>
      <c r="M15" s="271"/>
      <c r="N15" s="272"/>
      <c r="O15" s="271"/>
      <c r="P15" s="1596"/>
      <c r="Q15" s="1169"/>
      <c r="R15" s="1170"/>
      <c r="S15" s="2485"/>
      <c r="T15" s="271"/>
      <c r="U15" s="271"/>
      <c r="V15" s="325"/>
    </row>
    <row r="16" spans="1:22" s="26" customFormat="1" ht="15" customHeight="1" hidden="1">
      <c r="A16" s="169"/>
      <c r="B16" s="1694" t="s">
        <v>1041</v>
      </c>
      <c r="C16" s="848"/>
      <c r="D16" s="1636">
        <v>205</v>
      </c>
      <c r="E16" s="2767"/>
      <c r="F16" s="2768"/>
      <c r="G16" s="615"/>
      <c r="H16" s="359"/>
      <c r="I16" s="271"/>
      <c r="J16" s="271"/>
      <c r="K16" s="271"/>
      <c r="L16" s="271"/>
      <c r="M16" s="271"/>
      <c r="N16" s="272"/>
      <c r="O16" s="271"/>
      <c r="P16" s="1596"/>
      <c r="Q16" s="1169"/>
      <c r="R16" s="1170"/>
      <c r="S16" s="2485"/>
      <c r="T16" s="271"/>
      <c r="U16" s="271"/>
      <c r="V16" s="325"/>
    </row>
    <row r="17" spans="1:22" s="26" customFormat="1" ht="15" customHeight="1" hidden="1">
      <c r="A17" s="169"/>
      <c r="B17" s="1694" t="s">
        <v>1042</v>
      </c>
      <c r="C17" s="848"/>
      <c r="D17" s="1636">
        <v>304</v>
      </c>
      <c r="E17" s="2767"/>
      <c r="F17" s="2768"/>
      <c r="G17" s="615"/>
      <c r="H17" s="359"/>
      <c r="I17" s="271"/>
      <c r="J17" s="271"/>
      <c r="K17" s="271"/>
      <c r="L17" s="271"/>
      <c r="M17" s="271"/>
      <c r="N17" s="272"/>
      <c r="O17" s="271"/>
      <c r="P17" s="1596"/>
      <c r="Q17" s="1169"/>
      <c r="R17" s="1170"/>
      <c r="S17" s="2485"/>
      <c r="T17" s="271"/>
      <c r="U17" s="271"/>
      <c r="V17" s="325"/>
    </row>
    <row r="18" spans="1:22" s="26" customFormat="1" ht="15" customHeight="1" hidden="1">
      <c r="A18" s="169"/>
      <c r="B18" s="1694" t="s">
        <v>1043</v>
      </c>
      <c r="C18" s="848"/>
      <c r="D18" s="1636">
        <v>719</v>
      </c>
      <c r="E18" s="2767"/>
      <c r="F18" s="2768"/>
      <c r="G18" s="615"/>
      <c r="H18" s="359"/>
      <c r="I18" s="271"/>
      <c r="J18" s="271"/>
      <c r="K18" s="271"/>
      <c r="L18" s="271"/>
      <c r="M18" s="271"/>
      <c r="N18" s="272"/>
      <c r="O18" s="271"/>
      <c r="P18" s="1596"/>
      <c r="Q18" s="1169"/>
      <c r="R18" s="1170"/>
      <c r="S18" s="2485"/>
      <c r="T18" s="271"/>
      <c r="U18" s="271"/>
      <c r="V18" s="325"/>
    </row>
    <row r="19" spans="1:22" s="26" customFormat="1" ht="15" customHeight="1">
      <c r="A19" s="168"/>
      <c r="B19" s="1697" t="s">
        <v>1047</v>
      </c>
      <c r="C19" s="845"/>
      <c r="D19" s="2726">
        <f>SUM(D20:D24)</f>
        <v>2374</v>
      </c>
      <c r="E19" s="2767">
        <v>210782</v>
      </c>
      <c r="F19" s="2768">
        <v>6350</v>
      </c>
      <c r="G19" s="615">
        <f aca="true" t="shared" si="6" ref="G19:N19">SUM(G21:G24)</f>
        <v>233000</v>
      </c>
      <c r="H19" s="359">
        <f t="shared" si="6"/>
        <v>7019.358</v>
      </c>
      <c r="I19" s="271">
        <f t="shared" si="6"/>
        <v>233000</v>
      </c>
      <c r="J19" s="271">
        <f t="shared" si="6"/>
        <v>7019.358</v>
      </c>
      <c r="K19" s="271">
        <f t="shared" si="6"/>
        <v>0</v>
      </c>
      <c r="L19" s="271">
        <f t="shared" si="6"/>
        <v>0</v>
      </c>
      <c r="M19" s="271">
        <f t="shared" si="6"/>
        <v>0</v>
      </c>
      <c r="N19" s="271">
        <f t="shared" si="6"/>
        <v>0</v>
      </c>
      <c r="O19" s="271">
        <f>SUM(O21:O24)</f>
        <v>233000</v>
      </c>
      <c r="P19" s="1596">
        <f>SUM(P21:P24)</f>
        <v>7019.358</v>
      </c>
      <c r="Q19" s="1169">
        <f>SUM(Q21:Q24)</f>
        <v>165970</v>
      </c>
      <c r="R19" s="1170">
        <f>SUM(R21:R24)</f>
        <v>5000.01222</v>
      </c>
      <c r="S19" s="2485"/>
      <c r="T19" s="271"/>
      <c r="U19" s="271"/>
      <c r="V19" s="325"/>
    </row>
    <row r="20" spans="1:22" s="26" customFormat="1" ht="15" customHeight="1" hidden="1">
      <c r="A20" s="168"/>
      <c r="B20" s="1694" t="s">
        <v>560</v>
      </c>
      <c r="C20" s="845"/>
      <c r="D20" s="2726">
        <v>22</v>
      </c>
      <c r="E20" s="2767"/>
      <c r="F20" s="2768"/>
      <c r="G20" s="615"/>
      <c r="H20" s="359"/>
      <c r="I20" s="271"/>
      <c r="J20" s="271"/>
      <c r="K20" s="271"/>
      <c r="L20" s="271"/>
      <c r="M20" s="271"/>
      <c r="N20" s="271"/>
      <c r="O20" s="271"/>
      <c r="P20" s="1596"/>
      <c r="Q20" s="1169"/>
      <c r="R20" s="1170"/>
      <c r="S20" s="2485"/>
      <c r="T20" s="271"/>
      <c r="U20" s="271"/>
      <c r="V20" s="325"/>
    </row>
    <row r="21" spans="1:22" s="26" customFormat="1" ht="15" customHeight="1">
      <c r="A21" s="168"/>
      <c r="B21" s="1694" t="s">
        <v>1044</v>
      </c>
      <c r="C21" s="848"/>
      <c r="D21" s="1636"/>
      <c r="E21" s="2767">
        <v>13278</v>
      </c>
      <c r="F21" s="2768">
        <f t="shared" si="5"/>
        <v>400.01302799999996</v>
      </c>
      <c r="G21" s="615"/>
      <c r="H21" s="359"/>
      <c r="I21" s="271"/>
      <c r="J21" s="271"/>
      <c r="K21" s="271"/>
      <c r="L21" s="271"/>
      <c r="M21" s="271"/>
      <c r="N21" s="272"/>
      <c r="O21" s="271"/>
      <c r="P21" s="1596"/>
      <c r="Q21" s="1169"/>
      <c r="R21" s="1170"/>
      <c r="S21" s="2485"/>
      <c r="T21" s="271"/>
      <c r="U21" s="271"/>
      <c r="V21" s="325"/>
    </row>
    <row r="22" spans="1:22" s="26" customFormat="1" ht="15" customHeight="1">
      <c r="A22" s="168"/>
      <c r="B22" s="1694" t="s">
        <v>1045</v>
      </c>
      <c r="C22" s="848"/>
      <c r="D22" s="1636"/>
      <c r="E22" s="2767">
        <v>83116</v>
      </c>
      <c r="F22" s="2768">
        <f t="shared" si="5"/>
        <v>2503.952616</v>
      </c>
      <c r="G22" s="615">
        <v>233000</v>
      </c>
      <c r="H22" s="359">
        <f>G22*30.126/1000</f>
        <v>7019.358</v>
      </c>
      <c r="I22" s="271">
        <v>233000</v>
      </c>
      <c r="J22" s="271">
        <f>I22*30.126/1000</f>
        <v>7019.358</v>
      </c>
      <c r="K22" s="271"/>
      <c r="L22" s="271"/>
      <c r="M22" s="271"/>
      <c r="N22" s="272"/>
      <c r="O22" s="271">
        <v>233000</v>
      </c>
      <c r="P22" s="1596">
        <f>O22*30.126/1000</f>
        <v>7019.358</v>
      </c>
      <c r="Q22" s="1169">
        <v>165970</v>
      </c>
      <c r="R22" s="1170">
        <f>Q22*30.126/1000</f>
        <v>5000.01222</v>
      </c>
      <c r="S22" s="2485"/>
      <c r="T22" s="271"/>
      <c r="U22" s="271"/>
      <c r="V22" s="325"/>
    </row>
    <row r="23" spans="1:22" s="26" customFormat="1" ht="15" customHeight="1">
      <c r="A23" s="168"/>
      <c r="B23" s="1694" t="s">
        <v>1046</v>
      </c>
      <c r="C23" s="848"/>
      <c r="D23" s="1636"/>
      <c r="E23" s="2767">
        <v>92388</v>
      </c>
      <c r="F23" s="2768">
        <f t="shared" si="5"/>
        <v>2783.2808880000002</v>
      </c>
      <c r="G23" s="615"/>
      <c r="H23" s="359"/>
      <c r="I23" s="271"/>
      <c r="J23" s="271"/>
      <c r="K23" s="271"/>
      <c r="L23" s="271"/>
      <c r="M23" s="271"/>
      <c r="N23" s="272"/>
      <c r="O23" s="271"/>
      <c r="P23" s="1596"/>
      <c r="Q23" s="1169"/>
      <c r="R23" s="1170"/>
      <c r="S23" s="2485"/>
      <c r="T23" s="271"/>
      <c r="U23" s="271"/>
      <c r="V23" s="325"/>
    </row>
    <row r="24" spans="1:22" s="26" customFormat="1" ht="15" customHeight="1" thickBot="1">
      <c r="A24" s="170"/>
      <c r="B24" s="1714" t="s">
        <v>558</v>
      </c>
      <c r="C24" s="849"/>
      <c r="D24" s="2754">
        <v>2352</v>
      </c>
      <c r="E24" s="2769">
        <v>22000</v>
      </c>
      <c r="F24" s="2770">
        <f t="shared" si="5"/>
        <v>662.772</v>
      </c>
      <c r="G24" s="2758"/>
      <c r="H24" s="368"/>
      <c r="I24" s="273"/>
      <c r="J24" s="273"/>
      <c r="K24" s="273"/>
      <c r="L24" s="273"/>
      <c r="M24" s="273"/>
      <c r="N24" s="579"/>
      <c r="O24" s="273"/>
      <c r="P24" s="1597"/>
      <c r="Q24" s="1171"/>
      <c r="R24" s="1172"/>
      <c r="S24" s="2776"/>
      <c r="T24" s="273"/>
      <c r="U24" s="273"/>
      <c r="V24" s="575"/>
    </row>
    <row r="25" spans="1:22" s="26" customFormat="1" ht="19.5" customHeight="1" thickBot="1">
      <c r="A25" s="365"/>
      <c r="B25" s="366"/>
      <c r="C25" s="367"/>
      <c r="D25" s="367"/>
      <c r="E25" s="265"/>
      <c r="F25" s="265"/>
      <c r="G25" s="265"/>
      <c r="H25" s="265"/>
      <c r="I25" s="265"/>
      <c r="J25" s="265"/>
      <c r="K25" s="265"/>
      <c r="L25" s="265"/>
      <c r="M25" s="265"/>
      <c r="N25" s="71"/>
      <c r="O25" s="265"/>
      <c r="P25" s="265"/>
      <c r="Q25" s="265"/>
      <c r="R25" s="265"/>
      <c r="S25" s="265"/>
      <c r="T25" s="265"/>
      <c r="U25" s="265"/>
      <c r="V25" s="265"/>
    </row>
    <row r="26" spans="1:22" s="23" customFormat="1" ht="39.75" customHeight="1" thickTop="1">
      <c r="A26" s="2897"/>
      <c r="B26" s="2898"/>
      <c r="C26" s="539" t="s">
        <v>506</v>
      </c>
      <c r="D26" s="2314" t="s">
        <v>507</v>
      </c>
      <c r="E26" s="2839" t="s">
        <v>184</v>
      </c>
      <c r="F26" s="2840"/>
      <c r="G26" s="1173" t="s">
        <v>510</v>
      </c>
      <c r="H26" s="1166" t="s">
        <v>510</v>
      </c>
      <c r="I26" s="1002" t="s">
        <v>87</v>
      </c>
      <c r="J26" s="1002" t="s">
        <v>87</v>
      </c>
      <c r="K26" s="2870" t="s">
        <v>509</v>
      </c>
      <c r="L26" s="2870"/>
      <c r="M26" s="2870" t="s">
        <v>508</v>
      </c>
      <c r="N26" s="2870"/>
      <c r="O26" s="1003" t="s">
        <v>952</v>
      </c>
      <c r="P26" s="1546" t="s">
        <v>952</v>
      </c>
      <c r="Q26" s="2901" t="s">
        <v>183</v>
      </c>
      <c r="R26" s="2902"/>
      <c r="S26" s="2892" t="s">
        <v>725</v>
      </c>
      <c r="T26" s="2875"/>
      <c r="U26" s="2875" t="s">
        <v>726</v>
      </c>
      <c r="V26" s="2878"/>
    </row>
    <row r="27" spans="1:22" s="24" customFormat="1" ht="15" customHeight="1" thickBot="1">
      <c r="A27" s="2903"/>
      <c r="B27" s="2904"/>
      <c r="C27" s="540" t="s">
        <v>966</v>
      </c>
      <c r="D27" s="2315" t="s">
        <v>966</v>
      </c>
      <c r="E27" s="2318" t="s">
        <v>435</v>
      </c>
      <c r="F27" s="2234" t="s">
        <v>966</v>
      </c>
      <c r="G27" s="571" t="s">
        <v>435</v>
      </c>
      <c r="H27" s="240" t="s">
        <v>966</v>
      </c>
      <c r="I27" s="1005" t="s">
        <v>435</v>
      </c>
      <c r="J27" s="1005" t="s">
        <v>966</v>
      </c>
      <c r="K27" s="241" t="s">
        <v>435</v>
      </c>
      <c r="L27" s="241" t="s">
        <v>966</v>
      </c>
      <c r="M27" s="241" t="s">
        <v>435</v>
      </c>
      <c r="N27" s="241" t="s">
        <v>966</v>
      </c>
      <c r="O27" s="1006" t="s">
        <v>435</v>
      </c>
      <c r="P27" s="1547" t="s">
        <v>966</v>
      </c>
      <c r="Q27" s="240" t="s">
        <v>435</v>
      </c>
      <c r="R27" s="981" t="s">
        <v>966</v>
      </c>
      <c r="S27" s="797" t="s">
        <v>435</v>
      </c>
      <c r="T27" s="241" t="s">
        <v>966</v>
      </c>
      <c r="U27" s="241" t="s">
        <v>435</v>
      </c>
      <c r="V27" s="796" t="s">
        <v>966</v>
      </c>
    </row>
    <row r="28" spans="1:22" s="420" customFormat="1" ht="19.5" customHeight="1">
      <c r="A28" s="1174" t="s">
        <v>744</v>
      </c>
      <c r="B28" s="1717" t="s">
        <v>318</v>
      </c>
      <c r="C28" s="1019">
        <f aca="true" t="shared" si="7" ref="C28:C33">C31</f>
        <v>0</v>
      </c>
      <c r="D28" s="1598">
        <f aca="true" t="shared" si="8" ref="D28:N28">D31</f>
        <v>0</v>
      </c>
      <c r="E28" s="2728">
        <f t="shared" si="8"/>
        <v>0</v>
      </c>
      <c r="F28" s="2729">
        <f t="shared" si="8"/>
        <v>0</v>
      </c>
      <c r="G28" s="1102">
        <f t="shared" si="8"/>
        <v>0</v>
      </c>
      <c r="H28" s="1177">
        <f t="shared" si="8"/>
        <v>0</v>
      </c>
      <c r="I28" s="1178">
        <f t="shared" si="8"/>
        <v>0</v>
      </c>
      <c r="J28" s="1178">
        <f t="shared" si="8"/>
        <v>0</v>
      </c>
      <c r="K28" s="1178">
        <f t="shared" si="8"/>
        <v>336981</v>
      </c>
      <c r="L28" s="1178">
        <f t="shared" si="8"/>
        <v>10151.889606</v>
      </c>
      <c r="M28" s="1178">
        <f t="shared" si="8"/>
        <v>336981</v>
      </c>
      <c r="N28" s="1178">
        <f t="shared" si="8"/>
        <v>10151.889606</v>
      </c>
      <c r="O28" s="1178">
        <f aca="true" t="shared" si="9" ref="O28:P33">O31</f>
        <v>0</v>
      </c>
      <c r="P28" s="1598">
        <f t="shared" si="9"/>
        <v>0</v>
      </c>
      <c r="Q28" s="1177">
        <f aca="true" t="shared" si="10" ref="Q28:R33">Q31</f>
        <v>0</v>
      </c>
      <c r="R28" s="1176">
        <f t="shared" si="10"/>
        <v>0</v>
      </c>
      <c r="S28" s="1019">
        <f aca="true" t="shared" si="11" ref="S28:V33">S31</f>
        <v>336981</v>
      </c>
      <c r="T28" s="1178">
        <f t="shared" si="11"/>
        <v>10151.889606</v>
      </c>
      <c r="U28" s="1178">
        <f t="shared" si="11"/>
        <v>336981</v>
      </c>
      <c r="V28" s="1179">
        <f t="shared" si="11"/>
        <v>10151.889606</v>
      </c>
    </row>
    <row r="29" spans="1:22" s="30" customFormat="1" ht="15" customHeight="1">
      <c r="A29" s="1180"/>
      <c r="B29" s="1718" t="s">
        <v>7</v>
      </c>
      <c r="C29" s="1028">
        <f t="shared" si="7"/>
        <v>0</v>
      </c>
      <c r="D29" s="1599">
        <f aca="true" t="shared" si="12" ref="D29:N29">D32</f>
        <v>0</v>
      </c>
      <c r="E29" s="2730">
        <f t="shared" si="12"/>
        <v>0</v>
      </c>
      <c r="F29" s="2731">
        <f t="shared" si="12"/>
        <v>0</v>
      </c>
      <c r="G29" s="369">
        <f t="shared" si="12"/>
        <v>0</v>
      </c>
      <c r="H29" s="1183">
        <f t="shared" si="12"/>
        <v>0</v>
      </c>
      <c r="I29" s="1184">
        <f t="shared" si="12"/>
        <v>0</v>
      </c>
      <c r="J29" s="1184">
        <f t="shared" si="12"/>
        <v>0</v>
      </c>
      <c r="K29" s="1184">
        <f t="shared" si="12"/>
        <v>104621</v>
      </c>
      <c r="L29" s="1184">
        <f t="shared" si="12"/>
        <v>3151.8122460000004</v>
      </c>
      <c r="M29" s="1184">
        <f t="shared" si="12"/>
        <v>104621</v>
      </c>
      <c r="N29" s="1184">
        <f t="shared" si="12"/>
        <v>3151.8122460000004</v>
      </c>
      <c r="O29" s="1184">
        <f t="shared" si="9"/>
        <v>0</v>
      </c>
      <c r="P29" s="1599">
        <f t="shared" si="9"/>
        <v>0</v>
      </c>
      <c r="Q29" s="1183">
        <f t="shared" si="10"/>
        <v>0</v>
      </c>
      <c r="R29" s="1182">
        <f t="shared" si="10"/>
        <v>0</v>
      </c>
      <c r="S29" s="1028">
        <f t="shared" si="11"/>
        <v>104621</v>
      </c>
      <c r="T29" s="1184">
        <f t="shared" si="11"/>
        <v>3151.8122460000004</v>
      </c>
      <c r="U29" s="1184">
        <f t="shared" si="11"/>
        <v>104621</v>
      </c>
      <c r="V29" s="1185">
        <f t="shared" si="11"/>
        <v>3151.8122460000004</v>
      </c>
    </row>
    <row r="30" spans="1:22" s="49" customFormat="1" ht="15" customHeight="1">
      <c r="A30" s="1186"/>
      <c r="B30" s="1719" t="s">
        <v>8</v>
      </c>
      <c r="C30" s="1037">
        <f t="shared" si="7"/>
        <v>0</v>
      </c>
      <c r="D30" s="1600">
        <f aca="true" t="shared" si="13" ref="D30:N30">D33</f>
        <v>0</v>
      </c>
      <c r="E30" s="2732">
        <f t="shared" si="13"/>
        <v>0</v>
      </c>
      <c r="F30" s="2733">
        <f t="shared" si="13"/>
        <v>0</v>
      </c>
      <c r="G30" s="1082">
        <f t="shared" si="13"/>
        <v>0</v>
      </c>
      <c r="H30" s="1189">
        <f t="shared" si="13"/>
        <v>0</v>
      </c>
      <c r="I30" s="1190">
        <f t="shared" si="13"/>
        <v>0</v>
      </c>
      <c r="J30" s="1190">
        <f t="shared" si="13"/>
        <v>0</v>
      </c>
      <c r="K30" s="1190">
        <f t="shared" si="13"/>
        <v>232360</v>
      </c>
      <c r="L30" s="1190">
        <f t="shared" si="13"/>
        <v>7000.07736</v>
      </c>
      <c r="M30" s="1190">
        <f t="shared" si="13"/>
        <v>232360</v>
      </c>
      <c r="N30" s="1190">
        <f t="shared" si="13"/>
        <v>7000.07736</v>
      </c>
      <c r="O30" s="1190">
        <f t="shared" si="9"/>
        <v>0</v>
      </c>
      <c r="P30" s="1600">
        <f t="shared" si="9"/>
        <v>0</v>
      </c>
      <c r="Q30" s="1189">
        <f t="shared" si="10"/>
        <v>0</v>
      </c>
      <c r="R30" s="1188">
        <f t="shared" si="10"/>
        <v>0</v>
      </c>
      <c r="S30" s="1037">
        <f t="shared" si="11"/>
        <v>232360</v>
      </c>
      <c r="T30" s="1190">
        <f t="shared" si="11"/>
        <v>7000.07736</v>
      </c>
      <c r="U30" s="1190">
        <f t="shared" si="11"/>
        <v>232360</v>
      </c>
      <c r="V30" s="1191">
        <f t="shared" si="11"/>
        <v>7000.07736</v>
      </c>
    </row>
    <row r="31" spans="1:22" s="49" customFormat="1" ht="15" customHeight="1">
      <c r="A31" s="1192"/>
      <c r="B31" s="1720" t="s">
        <v>967</v>
      </c>
      <c r="C31" s="1046">
        <f t="shared" si="7"/>
        <v>0</v>
      </c>
      <c r="D31" s="1601">
        <f aca="true" t="shared" si="14" ref="D31:N31">D34</f>
        <v>0</v>
      </c>
      <c r="E31" s="2734">
        <f t="shared" si="14"/>
        <v>0</v>
      </c>
      <c r="F31" s="2735">
        <f t="shared" si="14"/>
        <v>0</v>
      </c>
      <c r="G31" s="1083">
        <f t="shared" si="14"/>
        <v>0</v>
      </c>
      <c r="H31" s="1195">
        <f t="shared" si="14"/>
        <v>0</v>
      </c>
      <c r="I31" s="1196">
        <f t="shared" si="14"/>
        <v>0</v>
      </c>
      <c r="J31" s="1196">
        <f t="shared" si="14"/>
        <v>0</v>
      </c>
      <c r="K31" s="1196">
        <f t="shared" si="14"/>
        <v>336981</v>
      </c>
      <c r="L31" s="1196">
        <f t="shared" si="14"/>
        <v>10151.889606</v>
      </c>
      <c r="M31" s="1196">
        <f t="shared" si="14"/>
        <v>336981</v>
      </c>
      <c r="N31" s="1196">
        <f t="shared" si="14"/>
        <v>10151.889606</v>
      </c>
      <c r="O31" s="1196">
        <f t="shared" si="9"/>
        <v>0</v>
      </c>
      <c r="P31" s="1601">
        <f t="shared" si="9"/>
        <v>0</v>
      </c>
      <c r="Q31" s="1195">
        <f t="shared" si="10"/>
        <v>0</v>
      </c>
      <c r="R31" s="1194">
        <f t="shared" si="10"/>
        <v>0</v>
      </c>
      <c r="S31" s="1046">
        <f t="shared" si="11"/>
        <v>336981</v>
      </c>
      <c r="T31" s="1196">
        <f t="shared" si="11"/>
        <v>10151.889606</v>
      </c>
      <c r="U31" s="1196">
        <f t="shared" si="11"/>
        <v>336981</v>
      </c>
      <c r="V31" s="1197">
        <f t="shared" si="11"/>
        <v>10151.889606</v>
      </c>
    </row>
    <row r="32" spans="1:22" s="30" customFormat="1" ht="15" customHeight="1">
      <c r="A32" s="1180"/>
      <c r="B32" s="1718" t="s">
        <v>7</v>
      </c>
      <c r="C32" s="1028">
        <f t="shared" si="7"/>
        <v>0</v>
      </c>
      <c r="D32" s="1599">
        <f aca="true" t="shared" si="15" ref="D32:N32">D35</f>
        <v>0</v>
      </c>
      <c r="E32" s="2730">
        <f t="shared" si="15"/>
        <v>0</v>
      </c>
      <c r="F32" s="2731">
        <f t="shared" si="15"/>
        <v>0</v>
      </c>
      <c r="G32" s="369">
        <f t="shared" si="15"/>
        <v>0</v>
      </c>
      <c r="H32" s="1183">
        <f t="shared" si="15"/>
        <v>0</v>
      </c>
      <c r="I32" s="1184">
        <f t="shared" si="15"/>
        <v>0</v>
      </c>
      <c r="J32" s="1184">
        <f t="shared" si="15"/>
        <v>0</v>
      </c>
      <c r="K32" s="1184">
        <f t="shared" si="15"/>
        <v>104621</v>
      </c>
      <c r="L32" s="1184">
        <f t="shared" si="15"/>
        <v>3151.8122460000004</v>
      </c>
      <c r="M32" s="1184">
        <f t="shared" si="15"/>
        <v>104621</v>
      </c>
      <c r="N32" s="1184">
        <f t="shared" si="15"/>
        <v>3151.8122460000004</v>
      </c>
      <c r="O32" s="1184">
        <f t="shared" si="9"/>
        <v>0</v>
      </c>
      <c r="P32" s="1599">
        <f t="shared" si="9"/>
        <v>0</v>
      </c>
      <c r="Q32" s="1183">
        <f t="shared" si="10"/>
        <v>0</v>
      </c>
      <c r="R32" s="1182">
        <f t="shared" si="10"/>
        <v>0</v>
      </c>
      <c r="S32" s="1028">
        <f t="shared" si="11"/>
        <v>104621</v>
      </c>
      <c r="T32" s="1184">
        <f t="shared" si="11"/>
        <v>3151.8122460000004</v>
      </c>
      <c r="U32" s="1184">
        <f t="shared" si="11"/>
        <v>104621</v>
      </c>
      <c r="V32" s="1185">
        <f t="shared" si="11"/>
        <v>3151.8122460000004</v>
      </c>
    </row>
    <row r="33" spans="1:22" s="49" customFormat="1" ht="15" customHeight="1">
      <c r="A33" s="1198"/>
      <c r="B33" s="1721" t="s">
        <v>8</v>
      </c>
      <c r="C33" s="1055">
        <f t="shared" si="7"/>
        <v>0</v>
      </c>
      <c r="D33" s="1602">
        <f aca="true" t="shared" si="16" ref="D33:N33">D36</f>
        <v>0</v>
      </c>
      <c r="E33" s="2736">
        <f t="shared" si="16"/>
        <v>0</v>
      </c>
      <c r="F33" s="2737">
        <f t="shared" si="16"/>
        <v>0</v>
      </c>
      <c r="G33" s="1084">
        <f t="shared" si="16"/>
        <v>0</v>
      </c>
      <c r="H33" s="1201">
        <f t="shared" si="16"/>
        <v>0</v>
      </c>
      <c r="I33" s="1202">
        <f t="shared" si="16"/>
        <v>0</v>
      </c>
      <c r="J33" s="1202">
        <f t="shared" si="16"/>
        <v>0</v>
      </c>
      <c r="K33" s="1202">
        <f t="shared" si="16"/>
        <v>232360</v>
      </c>
      <c r="L33" s="1202">
        <f t="shared" si="16"/>
        <v>7000.07736</v>
      </c>
      <c r="M33" s="1202">
        <f t="shared" si="16"/>
        <v>232360</v>
      </c>
      <c r="N33" s="1202">
        <f t="shared" si="16"/>
        <v>7000.07736</v>
      </c>
      <c r="O33" s="1202">
        <f t="shared" si="9"/>
        <v>0</v>
      </c>
      <c r="P33" s="1602">
        <f t="shared" si="9"/>
        <v>0</v>
      </c>
      <c r="Q33" s="1201">
        <f t="shared" si="10"/>
        <v>0</v>
      </c>
      <c r="R33" s="1200">
        <f t="shared" si="10"/>
        <v>0</v>
      </c>
      <c r="S33" s="1055">
        <f t="shared" si="11"/>
        <v>232360</v>
      </c>
      <c r="T33" s="1202">
        <f t="shared" si="11"/>
        <v>7000.07736</v>
      </c>
      <c r="U33" s="1202">
        <f t="shared" si="11"/>
        <v>232360</v>
      </c>
      <c r="V33" s="1203">
        <f t="shared" si="11"/>
        <v>7000.07736</v>
      </c>
    </row>
    <row r="34" spans="1:22" s="65" customFormat="1" ht="15" customHeight="1">
      <c r="A34" s="1204"/>
      <c r="B34" s="1722" t="s">
        <v>320</v>
      </c>
      <c r="C34" s="1716">
        <f>SUM(C35:C36)</f>
        <v>0</v>
      </c>
      <c r="D34" s="1603">
        <f aca="true" t="shared" si="17" ref="D34:N34">SUM(D35:D36)</f>
        <v>0</v>
      </c>
      <c r="E34" s="2771">
        <f t="shared" si="17"/>
        <v>0</v>
      </c>
      <c r="F34" s="2772">
        <f t="shared" si="17"/>
        <v>0</v>
      </c>
      <c r="G34" s="1207">
        <f t="shared" si="17"/>
        <v>0</v>
      </c>
      <c r="H34" s="1206">
        <f t="shared" si="17"/>
        <v>0</v>
      </c>
      <c r="I34" s="1208">
        <f t="shared" si="17"/>
        <v>0</v>
      </c>
      <c r="J34" s="1208">
        <f t="shared" si="17"/>
        <v>0</v>
      </c>
      <c r="K34" s="1208">
        <f t="shared" si="17"/>
        <v>336981</v>
      </c>
      <c r="L34" s="1208">
        <f t="shared" si="17"/>
        <v>10151.889606</v>
      </c>
      <c r="M34" s="1208">
        <f t="shared" si="17"/>
        <v>336981</v>
      </c>
      <c r="N34" s="1208">
        <f t="shared" si="17"/>
        <v>10151.889606</v>
      </c>
      <c r="O34" s="1208">
        <f aca="true" t="shared" si="18" ref="O34:V34">SUM(O35:O36)</f>
        <v>0</v>
      </c>
      <c r="P34" s="1603">
        <f t="shared" si="18"/>
        <v>0</v>
      </c>
      <c r="Q34" s="1206">
        <f t="shared" si="18"/>
        <v>0</v>
      </c>
      <c r="R34" s="1205">
        <f t="shared" si="18"/>
        <v>0</v>
      </c>
      <c r="S34" s="1716">
        <f t="shared" si="18"/>
        <v>336981</v>
      </c>
      <c r="T34" s="1208">
        <f t="shared" si="18"/>
        <v>10151.889606</v>
      </c>
      <c r="U34" s="1208">
        <f t="shared" si="18"/>
        <v>336981</v>
      </c>
      <c r="V34" s="1715">
        <f t="shared" si="18"/>
        <v>10151.889606</v>
      </c>
    </row>
    <row r="35" spans="1:22" s="26" customFormat="1" ht="15" customHeight="1">
      <c r="A35" s="121"/>
      <c r="B35" s="1694" t="s">
        <v>340</v>
      </c>
      <c r="C35" s="845"/>
      <c r="D35" s="2726"/>
      <c r="E35" s="2740"/>
      <c r="F35" s="2741"/>
      <c r="G35" s="1211"/>
      <c r="H35" s="1209"/>
      <c r="I35" s="1212"/>
      <c r="J35" s="1212"/>
      <c r="K35" s="1212">
        <v>104621</v>
      </c>
      <c r="L35" s="1212">
        <f>K35*30.126/1000</f>
        <v>3151.8122460000004</v>
      </c>
      <c r="M35" s="1212">
        <v>104621</v>
      </c>
      <c r="N35" s="1212">
        <f>M35*30.126/1000</f>
        <v>3151.8122460000004</v>
      </c>
      <c r="O35" s="1212"/>
      <c r="P35" s="1604"/>
      <c r="Q35" s="1209"/>
      <c r="R35" s="1210"/>
      <c r="S35" s="2746">
        <v>104621</v>
      </c>
      <c r="T35" s="1212">
        <f>S35*30.126/1000</f>
        <v>3151.8122460000004</v>
      </c>
      <c r="U35" s="1212">
        <v>104621</v>
      </c>
      <c r="V35" s="1213">
        <f>U35*30.126/1000</f>
        <v>3151.8122460000004</v>
      </c>
    </row>
    <row r="36" spans="1:22" s="25" customFormat="1" ht="15" customHeight="1" thickBot="1">
      <c r="A36" s="1214"/>
      <c r="B36" s="1723" t="s">
        <v>341</v>
      </c>
      <c r="C36" s="1235"/>
      <c r="D36" s="2727"/>
      <c r="E36" s="2742"/>
      <c r="F36" s="2743"/>
      <c r="G36" s="1217"/>
      <c r="H36" s="1218"/>
      <c r="I36" s="1219"/>
      <c r="J36" s="1219"/>
      <c r="K36" s="1219">
        <v>232360</v>
      </c>
      <c r="L36" s="1219">
        <f>K36*30.126/1000</f>
        <v>7000.07736</v>
      </c>
      <c r="M36" s="1219">
        <v>232360</v>
      </c>
      <c r="N36" s="1220">
        <f>M36*30.126/1000</f>
        <v>7000.07736</v>
      </c>
      <c r="O36" s="1219"/>
      <c r="P36" s="1605"/>
      <c r="Q36" s="1215"/>
      <c r="R36" s="1216"/>
      <c r="S36" s="2747">
        <v>232360</v>
      </c>
      <c r="T36" s="1219">
        <f>S36*30.126/1000</f>
        <v>7000.07736</v>
      </c>
      <c r="U36" s="1219">
        <v>232360</v>
      </c>
      <c r="V36" s="1221">
        <f>U36*30.126/1000</f>
        <v>7000.07736</v>
      </c>
    </row>
    <row r="37" spans="3:22" ht="19.5" customHeight="1" thickBot="1">
      <c r="C37" s="6"/>
      <c r="D37" s="6"/>
      <c r="E37" s="4"/>
      <c r="G37" s="4"/>
      <c r="H37" s="4"/>
      <c r="I37" s="4"/>
      <c r="J37" s="4"/>
      <c r="K37" s="4"/>
      <c r="L37" s="4"/>
      <c r="M37" s="4"/>
      <c r="O37" s="4"/>
      <c r="P37" s="4"/>
      <c r="Q37" s="4"/>
      <c r="R37" s="4"/>
      <c r="S37" s="4"/>
      <c r="T37" s="4"/>
      <c r="U37" s="4"/>
      <c r="V37" s="4"/>
    </row>
    <row r="38" spans="1:22" s="23" customFormat="1" ht="39.75" customHeight="1" thickTop="1">
      <c r="A38" s="2905"/>
      <c r="B38" s="2906"/>
      <c r="C38" s="539" t="s">
        <v>506</v>
      </c>
      <c r="D38" s="2314" t="s">
        <v>507</v>
      </c>
      <c r="E38" s="2839" t="s">
        <v>184</v>
      </c>
      <c r="F38" s="2840"/>
      <c r="G38" s="460" t="s">
        <v>510</v>
      </c>
      <c r="H38" s="496" t="s">
        <v>510</v>
      </c>
      <c r="I38" s="497" t="s">
        <v>87</v>
      </c>
      <c r="J38" s="497" t="s">
        <v>87</v>
      </c>
      <c r="K38" s="2870" t="s">
        <v>509</v>
      </c>
      <c r="L38" s="2870"/>
      <c r="M38" s="2870" t="s">
        <v>508</v>
      </c>
      <c r="N38" s="2870"/>
      <c r="O38" s="498" t="s">
        <v>952</v>
      </c>
      <c r="P38" s="1571" t="s">
        <v>952</v>
      </c>
      <c r="Q38" s="2901" t="s">
        <v>183</v>
      </c>
      <c r="R38" s="2902"/>
      <c r="S38" s="2892" t="s">
        <v>725</v>
      </c>
      <c r="T38" s="2875"/>
      <c r="U38" s="2875" t="s">
        <v>726</v>
      </c>
      <c r="V38" s="2878"/>
    </row>
    <row r="39" spans="1:22" s="24" customFormat="1" ht="15" customHeight="1" thickBot="1">
      <c r="A39" s="2907"/>
      <c r="B39" s="2908"/>
      <c r="C39" s="540" t="s">
        <v>966</v>
      </c>
      <c r="D39" s="2315" t="s">
        <v>966</v>
      </c>
      <c r="E39" s="2318" t="s">
        <v>435</v>
      </c>
      <c r="F39" s="2234" t="s">
        <v>966</v>
      </c>
      <c r="G39" s="461" t="s">
        <v>435</v>
      </c>
      <c r="H39" s="352" t="s">
        <v>966</v>
      </c>
      <c r="I39" s="499" t="s">
        <v>435</v>
      </c>
      <c r="J39" s="499" t="s">
        <v>966</v>
      </c>
      <c r="K39" s="241" t="s">
        <v>435</v>
      </c>
      <c r="L39" s="241" t="s">
        <v>966</v>
      </c>
      <c r="M39" s="241" t="s">
        <v>435</v>
      </c>
      <c r="N39" s="241" t="s">
        <v>966</v>
      </c>
      <c r="O39" s="500" t="s">
        <v>435</v>
      </c>
      <c r="P39" s="1572" t="s">
        <v>966</v>
      </c>
      <c r="Q39" s="240" t="s">
        <v>435</v>
      </c>
      <c r="R39" s="981" t="s">
        <v>966</v>
      </c>
      <c r="S39" s="797" t="s">
        <v>435</v>
      </c>
      <c r="T39" s="241" t="s">
        <v>966</v>
      </c>
      <c r="U39" s="241" t="s">
        <v>435</v>
      </c>
      <c r="V39" s="796" t="s">
        <v>966</v>
      </c>
    </row>
    <row r="40" spans="1:22" s="23" customFormat="1" ht="19.5" customHeight="1">
      <c r="A40" s="421" t="s">
        <v>35</v>
      </c>
      <c r="B40" s="1724" t="s">
        <v>321</v>
      </c>
      <c r="C40" s="541">
        <f>C4+C28</f>
        <v>71844</v>
      </c>
      <c r="D40" s="1606">
        <f aca="true" t="shared" si="19" ref="D40:N40">D4+D28</f>
        <v>83543</v>
      </c>
      <c r="E40" s="2319">
        <f t="shared" si="19"/>
        <v>376113</v>
      </c>
      <c r="F40" s="2320">
        <f t="shared" si="19"/>
        <v>11330.762454000002</v>
      </c>
      <c r="G40" s="493">
        <f t="shared" si="19"/>
        <v>253000</v>
      </c>
      <c r="H40" s="502">
        <f t="shared" si="19"/>
        <v>7621.878000000001</v>
      </c>
      <c r="I40" s="487">
        <f t="shared" si="19"/>
        <v>253000</v>
      </c>
      <c r="J40" s="487">
        <f t="shared" si="19"/>
        <v>7621.878000000001</v>
      </c>
      <c r="K40" s="487">
        <f t="shared" si="19"/>
        <v>336981</v>
      </c>
      <c r="L40" s="487">
        <f t="shared" si="19"/>
        <v>10151.889606</v>
      </c>
      <c r="M40" s="487">
        <f t="shared" si="19"/>
        <v>336981</v>
      </c>
      <c r="N40" s="487">
        <f t="shared" si="19"/>
        <v>10151.889606</v>
      </c>
      <c r="O40" s="487">
        <f aca="true" t="shared" si="20" ref="O40:V40">O4+O28</f>
        <v>253000</v>
      </c>
      <c r="P40" s="1606">
        <f t="shared" si="20"/>
        <v>7621.878000000001</v>
      </c>
      <c r="Q40" s="555">
        <f t="shared" si="20"/>
        <v>191521</v>
      </c>
      <c r="R40" s="488">
        <f t="shared" si="20"/>
        <v>5769.761646</v>
      </c>
      <c r="S40" s="541">
        <f t="shared" si="20"/>
        <v>528502</v>
      </c>
      <c r="T40" s="487">
        <f t="shared" si="20"/>
        <v>15921.651252</v>
      </c>
      <c r="U40" s="487">
        <f t="shared" si="20"/>
        <v>528502</v>
      </c>
      <c r="V40" s="503">
        <f t="shared" si="20"/>
        <v>15921.651252</v>
      </c>
    </row>
    <row r="41" spans="1:22" s="30" customFormat="1" ht="15" customHeight="1">
      <c r="A41" s="423"/>
      <c r="B41" s="1725" t="s">
        <v>965</v>
      </c>
      <c r="C41" s="542">
        <f>C5</f>
        <v>442</v>
      </c>
      <c r="D41" s="1607">
        <f aca="true" t="shared" si="21" ref="D41:N41">D5</f>
        <v>41</v>
      </c>
      <c r="E41" s="2321">
        <f t="shared" si="21"/>
        <v>25551</v>
      </c>
      <c r="F41" s="2322">
        <f t="shared" si="21"/>
        <v>769.749426</v>
      </c>
      <c r="G41" s="494">
        <f t="shared" si="21"/>
        <v>0</v>
      </c>
      <c r="H41" s="504">
        <f t="shared" si="21"/>
        <v>0</v>
      </c>
      <c r="I41" s="489">
        <f t="shared" si="21"/>
        <v>0</v>
      </c>
      <c r="J41" s="489">
        <f t="shared" si="21"/>
        <v>0</v>
      </c>
      <c r="K41" s="489">
        <f t="shared" si="21"/>
        <v>0</v>
      </c>
      <c r="L41" s="489">
        <f t="shared" si="21"/>
        <v>0</v>
      </c>
      <c r="M41" s="489">
        <f t="shared" si="21"/>
        <v>0</v>
      </c>
      <c r="N41" s="489">
        <f t="shared" si="21"/>
        <v>0</v>
      </c>
      <c r="O41" s="489">
        <f aca="true" t="shared" si="22" ref="O41:V41">O5</f>
        <v>0</v>
      </c>
      <c r="P41" s="1607">
        <f t="shared" si="22"/>
        <v>0</v>
      </c>
      <c r="Q41" s="556">
        <f t="shared" si="22"/>
        <v>25551</v>
      </c>
      <c r="R41" s="490">
        <f t="shared" si="22"/>
        <v>769.749426</v>
      </c>
      <c r="S41" s="542">
        <f t="shared" si="22"/>
        <v>25551</v>
      </c>
      <c r="T41" s="489">
        <f t="shared" si="22"/>
        <v>769.749426</v>
      </c>
      <c r="U41" s="489">
        <f t="shared" si="22"/>
        <v>25551</v>
      </c>
      <c r="V41" s="505">
        <f t="shared" si="22"/>
        <v>769.749426</v>
      </c>
    </row>
    <row r="42" spans="1:22" s="30" customFormat="1" ht="15" customHeight="1" thickBot="1">
      <c r="A42" s="485"/>
      <c r="B42" s="1726" t="s">
        <v>967</v>
      </c>
      <c r="C42" s="543">
        <f>C9+C31</f>
        <v>71402</v>
      </c>
      <c r="D42" s="1608">
        <f aca="true" t="shared" si="23" ref="D42:N42">D9+D31</f>
        <v>83502</v>
      </c>
      <c r="E42" s="2323">
        <f t="shared" si="23"/>
        <v>350562</v>
      </c>
      <c r="F42" s="2324">
        <f t="shared" si="23"/>
        <v>10561.013028000001</v>
      </c>
      <c r="G42" s="495">
        <f t="shared" si="23"/>
        <v>253000</v>
      </c>
      <c r="H42" s="506">
        <f t="shared" si="23"/>
        <v>7621.878000000001</v>
      </c>
      <c r="I42" s="491">
        <f t="shared" si="23"/>
        <v>253000</v>
      </c>
      <c r="J42" s="491">
        <f t="shared" si="23"/>
        <v>7621.878000000001</v>
      </c>
      <c r="K42" s="491">
        <f t="shared" si="23"/>
        <v>336981</v>
      </c>
      <c r="L42" s="491">
        <f t="shared" si="23"/>
        <v>10151.889606</v>
      </c>
      <c r="M42" s="491">
        <f t="shared" si="23"/>
        <v>336981</v>
      </c>
      <c r="N42" s="491">
        <f t="shared" si="23"/>
        <v>10151.889606</v>
      </c>
      <c r="O42" s="491">
        <f aca="true" t="shared" si="24" ref="O42:V42">O9+O31</f>
        <v>253000</v>
      </c>
      <c r="P42" s="1608">
        <f t="shared" si="24"/>
        <v>7621.878000000001</v>
      </c>
      <c r="Q42" s="982">
        <f t="shared" si="24"/>
        <v>165970</v>
      </c>
      <c r="R42" s="983">
        <f t="shared" si="24"/>
        <v>5000.01222</v>
      </c>
      <c r="S42" s="543">
        <f t="shared" si="24"/>
        <v>502951</v>
      </c>
      <c r="T42" s="491">
        <f t="shared" si="24"/>
        <v>15151.901826000001</v>
      </c>
      <c r="U42" s="491">
        <f t="shared" si="24"/>
        <v>502951</v>
      </c>
      <c r="V42" s="507">
        <f t="shared" si="24"/>
        <v>15151.901826000001</v>
      </c>
    </row>
  </sheetData>
  <sheetProtection/>
  <mergeCells count="21">
    <mergeCell ref="U2:V2"/>
    <mergeCell ref="U26:V26"/>
    <mergeCell ref="U38:V38"/>
    <mergeCell ref="S2:T2"/>
    <mergeCell ref="S26:T26"/>
    <mergeCell ref="S38:T38"/>
    <mergeCell ref="Q2:R2"/>
    <mergeCell ref="Q26:R26"/>
    <mergeCell ref="Q38:R38"/>
    <mergeCell ref="M38:N38"/>
    <mergeCell ref="M2:N2"/>
    <mergeCell ref="M26:N26"/>
    <mergeCell ref="A2:B3"/>
    <mergeCell ref="A26:B27"/>
    <mergeCell ref="K38:L38"/>
    <mergeCell ref="E2:F2"/>
    <mergeCell ref="E26:F26"/>
    <mergeCell ref="E38:F38"/>
    <mergeCell ref="K2:L2"/>
    <mergeCell ref="K26:L26"/>
    <mergeCell ref="A38:B39"/>
  </mergeCells>
  <printOptions horizontalCentered="1"/>
  <pageMargins left="0" right="0.7874015748031497" top="0.88" bottom="0.5905511811023623" header="0" footer="0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V39"/>
  <sheetViews>
    <sheetView showGridLines="0" zoomScalePageLayoutView="0" workbookViewId="0" topLeftCell="A1">
      <pane xSplit="2" ySplit="3" topLeftCell="E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41" sqref="Q41"/>
    </sheetView>
  </sheetViews>
  <sheetFormatPr defaultColWidth="9.140625" defaultRowHeight="12.75"/>
  <cols>
    <col min="1" max="1" width="7.7109375" style="16" customWidth="1"/>
    <col min="2" max="2" width="66.57421875" style="6" customWidth="1"/>
    <col min="3" max="4" width="10.7109375" style="275" hidden="1" customWidth="1"/>
    <col min="5" max="6" width="10.7109375" style="6" customWidth="1"/>
    <col min="7" max="16" width="10.7109375" style="6" hidden="1" customWidth="1"/>
    <col min="17" max="22" width="10.7109375" style="6" customWidth="1"/>
    <col min="23" max="16384" width="9.140625" style="6" customWidth="1"/>
  </cols>
  <sheetData>
    <row r="1" spans="1:6" ht="20.25" hidden="1" thickBot="1">
      <c r="A1" s="237" t="s">
        <v>1122</v>
      </c>
      <c r="E1" s="2509"/>
      <c r="F1" s="2510"/>
    </row>
    <row r="2" spans="1:22" s="23" customFormat="1" ht="39.75" customHeight="1" thickTop="1">
      <c r="A2" s="2872"/>
      <c r="B2" s="2893"/>
      <c r="C2" s="811" t="s">
        <v>506</v>
      </c>
      <c r="D2" s="2695" t="s">
        <v>507</v>
      </c>
      <c r="E2" s="2914" t="s">
        <v>1182</v>
      </c>
      <c r="F2" s="2915"/>
      <c r="G2" s="460" t="s">
        <v>510</v>
      </c>
      <c r="H2" s="496" t="s">
        <v>510</v>
      </c>
      <c r="I2" s="497" t="s">
        <v>87</v>
      </c>
      <c r="J2" s="497" t="s">
        <v>87</v>
      </c>
      <c r="K2" s="2870" t="s">
        <v>509</v>
      </c>
      <c r="L2" s="2870"/>
      <c r="M2" s="2870" t="s">
        <v>508</v>
      </c>
      <c r="N2" s="2870"/>
      <c r="O2" s="498" t="s">
        <v>952</v>
      </c>
      <c r="P2" s="1571" t="s">
        <v>952</v>
      </c>
      <c r="Q2" s="2901" t="s">
        <v>183</v>
      </c>
      <c r="R2" s="2902"/>
      <c r="S2" s="2892" t="s">
        <v>725</v>
      </c>
      <c r="T2" s="2875"/>
      <c r="U2" s="2875" t="s">
        <v>726</v>
      </c>
      <c r="V2" s="2878"/>
    </row>
    <row r="3" spans="1:22" s="24" customFormat="1" ht="15" customHeight="1" thickBot="1">
      <c r="A3" s="2916"/>
      <c r="B3" s="2917"/>
      <c r="C3" s="347" t="s">
        <v>966</v>
      </c>
      <c r="D3" s="2304" t="s">
        <v>966</v>
      </c>
      <c r="E3" s="2318" t="s">
        <v>435</v>
      </c>
      <c r="F3" s="2234" t="s">
        <v>966</v>
      </c>
      <c r="G3" s="461" t="s">
        <v>435</v>
      </c>
      <c r="H3" s="352" t="s">
        <v>966</v>
      </c>
      <c r="I3" s="499" t="s">
        <v>435</v>
      </c>
      <c r="J3" s="499" t="s">
        <v>966</v>
      </c>
      <c r="K3" s="241" t="s">
        <v>435</v>
      </c>
      <c r="L3" s="241" t="s">
        <v>966</v>
      </c>
      <c r="M3" s="241" t="s">
        <v>435</v>
      </c>
      <c r="N3" s="241" t="s">
        <v>966</v>
      </c>
      <c r="O3" s="500" t="s">
        <v>435</v>
      </c>
      <c r="P3" s="1572" t="s">
        <v>966</v>
      </c>
      <c r="Q3" s="240" t="s">
        <v>435</v>
      </c>
      <c r="R3" s="981" t="s">
        <v>966</v>
      </c>
      <c r="S3" s="797" t="s">
        <v>435</v>
      </c>
      <c r="T3" s="241" t="s">
        <v>966</v>
      </c>
      <c r="U3" s="241" t="s">
        <v>435</v>
      </c>
      <c r="V3" s="796" t="s">
        <v>966</v>
      </c>
    </row>
    <row r="4" spans="1:22" s="30" customFormat="1" ht="19.5" customHeight="1">
      <c r="A4" s="1727" t="s">
        <v>350</v>
      </c>
      <c r="B4" s="1728" t="s">
        <v>1048</v>
      </c>
      <c r="C4" s="812">
        <f>C5+C10</f>
        <v>30817</v>
      </c>
      <c r="D4" s="2263">
        <f>D5+D10</f>
        <v>31152</v>
      </c>
      <c r="E4" s="2713">
        <f>E5+E10</f>
        <v>945197</v>
      </c>
      <c r="F4" s="2714">
        <f>F5+F10</f>
        <v>28475.012759999998</v>
      </c>
      <c r="G4" s="530">
        <f>G5+G10</f>
        <v>803451</v>
      </c>
      <c r="H4" s="242">
        <f aca="true" t="shared" si="0" ref="H4:N4">H5+H10</f>
        <v>24204.764826000002</v>
      </c>
      <c r="I4" s="243">
        <f t="shared" si="0"/>
        <v>770091</v>
      </c>
      <c r="J4" s="243">
        <f t="shared" si="0"/>
        <v>23199.761466000004</v>
      </c>
      <c r="K4" s="243">
        <f t="shared" si="0"/>
        <v>854331</v>
      </c>
      <c r="L4" s="243">
        <f t="shared" si="0"/>
        <v>25737.575706</v>
      </c>
      <c r="M4" s="243">
        <f t="shared" si="0"/>
        <v>927358</v>
      </c>
      <c r="N4" s="243">
        <f t="shared" si="0"/>
        <v>27937.587108</v>
      </c>
      <c r="O4" s="243">
        <f aca="true" t="shared" si="1" ref="O4:V4">O5+O10</f>
        <v>770091</v>
      </c>
      <c r="P4" s="1548">
        <f t="shared" si="1"/>
        <v>23199.761466000004</v>
      </c>
      <c r="Q4" s="242">
        <f t="shared" si="1"/>
        <v>770091</v>
      </c>
      <c r="R4" s="763">
        <f t="shared" si="1"/>
        <v>23199.761466000004</v>
      </c>
      <c r="S4" s="2380">
        <f t="shared" si="1"/>
        <v>770091</v>
      </c>
      <c r="T4" s="243">
        <f t="shared" si="1"/>
        <v>23199.761466000004</v>
      </c>
      <c r="U4" s="243">
        <f t="shared" si="1"/>
        <v>770091</v>
      </c>
      <c r="V4" s="285">
        <f t="shared" si="1"/>
        <v>23199.761466000004</v>
      </c>
    </row>
    <row r="5" spans="1:22" s="30" customFormat="1" ht="19.5" customHeight="1">
      <c r="A5" s="1729" t="s">
        <v>468</v>
      </c>
      <c r="B5" s="1730" t="s">
        <v>965</v>
      </c>
      <c r="C5" s="813">
        <f>SUM(C6:C9)</f>
        <v>26331</v>
      </c>
      <c r="D5" s="2504">
        <f>SUM(D6:D9)</f>
        <v>22164</v>
      </c>
      <c r="E5" s="2715">
        <f>SUM(E6:E9)</f>
        <v>806347</v>
      </c>
      <c r="F5" s="2716">
        <f>SUM(F6:F9)</f>
        <v>24292.009722</v>
      </c>
      <c r="G5" s="464">
        <f>SUM(G6:G9)</f>
        <v>693745</v>
      </c>
      <c r="H5" s="245">
        <f aca="true" t="shared" si="2" ref="H5:N5">SUM(H6:H9)</f>
        <v>20899.761870000002</v>
      </c>
      <c r="I5" s="246">
        <f t="shared" si="2"/>
        <v>693745</v>
      </c>
      <c r="J5" s="246">
        <f t="shared" si="2"/>
        <v>20899.761870000002</v>
      </c>
      <c r="K5" s="246">
        <f t="shared" si="2"/>
        <v>695000</v>
      </c>
      <c r="L5" s="246">
        <f t="shared" si="2"/>
        <v>20937.57</v>
      </c>
      <c r="M5" s="246">
        <f t="shared" si="2"/>
        <v>695000</v>
      </c>
      <c r="N5" s="246">
        <f t="shared" si="2"/>
        <v>20937.57</v>
      </c>
      <c r="O5" s="246">
        <f>SUM(O6:O9)</f>
        <v>693745</v>
      </c>
      <c r="P5" s="1550">
        <f>SUM(P6:P9)</f>
        <v>20899.761870000002</v>
      </c>
      <c r="Q5" s="245">
        <f>SUM(Q6:Q9)</f>
        <v>693745</v>
      </c>
      <c r="R5" s="764">
        <f>SUM(R6:R9)</f>
        <v>20899.761870000002</v>
      </c>
      <c r="S5" s="2383">
        <v>693745</v>
      </c>
      <c r="T5" s="246">
        <f>S5*30.126/1000</f>
        <v>20899.761870000002</v>
      </c>
      <c r="U5" s="246">
        <v>693745</v>
      </c>
      <c r="V5" s="255">
        <f>U5*30.126/1000</f>
        <v>20899.761870000002</v>
      </c>
    </row>
    <row r="6" spans="1:22" ht="15" customHeight="1">
      <c r="A6" s="1731"/>
      <c r="B6" s="1732" t="s">
        <v>1049</v>
      </c>
      <c r="C6" s="814">
        <v>9300</v>
      </c>
      <c r="D6" s="2709">
        <v>8820</v>
      </c>
      <c r="E6" s="2717">
        <v>302065</v>
      </c>
      <c r="F6" s="2718">
        <f>(E6*30.126)/1000</f>
        <v>9100.010189999999</v>
      </c>
      <c r="G6" s="597">
        <v>298745</v>
      </c>
      <c r="H6" s="582">
        <f>G6*30.126/1000</f>
        <v>8999.991870000002</v>
      </c>
      <c r="I6" s="279">
        <v>298745</v>
      </c>
      <c r="J6" s="279">
        <f>I6*30.126/1000</f>
        <v>8999.991870000002</v>
      </c>
      <c r="K6" s="279">
        <v>315000</v>
      </c>
      <c r="L6" s="279">
        <f>K6*30.126/1000</f>
        <v>9489.69</v>
      </c>
      <c r="M6" s="279">
        <v>315000</v>
      </c>
      <c r="N6" s="258">
        <f>M6*30.126/1000</f>
        <v>9489.69</v>
      </c>
      <c r="O6" s="279">
        <v>298745</v>
      </c>
      <c r="P6" s="1609">
        <f>O6*30.126/1000</f>
        <v>8999.991870000002</v>
      </c>
      <c r="Q6" s="976">
        <v>298745</v>
      </c>
      <c r="R6" s="2748">
        <f>Q6*30.126/1000</f>
        <v>8999.991870000002</v>
      </c>
      <c r="S6" s="2447"/>
      <c r="T6" s="279"/>
      <c r="U6" s="279"/>
      <c r="V6" s="316"/>
    </row>
    <row r="7" spans="1:22" ht="15" customHeight="1">
      <c r="A7" s="97"/>
      <c r="B7" s="1733" t="s">
        <v>562</v>
      </c>
      <c r="C7" s="1232"/>
      <c r="D7" s="2710"/>
      <c r="E7" s="2719">
        <v>65292</v>
      </c>
      <c r="F7" s="2720">
        <f>(E7*30.126)/1000</f>
        <v>1966.9867920000002</v>
      </c>
      <c r="G7" s="561"/>
      <c r="H7" s="567"/>
      <c r="I7" s="256"/>
      <c r="J7" s="256"/>
      <c r="K7" s="256"/>
      <c r="L7" s="256"/>
      <c r="M7" s="256"/>
      <c r="N7" s="247"/>
      <c r="O7" s="256"/>
      <c r="P7" s="1575"/>
      <c r="Q7" s="978"/>
      <c r="R7" s="2749"/>
      <c r="S7" s="2744"/>
      <c r="T7" s="256"/>
      <c r="U7" s="256"/>
      <c r="V7" s="441"/>
    </row>
    <row r="8" spans="1:22" ht="15" customHeight="1" hidden="1">
      <c r="A8" s="97"/>
      <c r="B8" s="1733" t="s">
        <v>563</v>
      </c>
      <c r="C8" s="1232">
        <v>172</v>
      </c>
      <c r="D8" s="2710"/>
      <c r="E8" s="2719"/>
      <c r="F8" s="2720"/>
      <c r="G8" s="561"/>
      <c r="H8" s="567"/>
      <c r="I8" s="256"/>
      <c r="J8" s="256"/>
      <c r="K8" s="256"/>
      <c r="L8" s="256"/>
      <c r="M8" s="256"/>
      <c r="N8" s="247"/>
      <c r="O8" s="256"/>
      <c r="P8" s="1575"/>
      <c r="Q8" s="978"/>
      <c r="R8" s="2749"/>
      <c r="S8" s="2744"/>
      <c r="T8" s="256"/>
      <c r="U8" s="256"/>
      <c r="V8" s="441"/>
    </row>
    <row r="9" spans="1:22" ht="15" customHeight="1">
      <c r="A9" s="1734"/>
      <c r="B9" s="1735" t="s">
        <v>1050</v>
      </c>
      <c r="C9" s="817">
        <v>16859</v>
      </c>
      <c r="D9" s="1758">
        <v>13344</v>
      </c>
      <c r="E9" s="2721">
        <v>438990</v>
      </c>
      <c r="F9" s="2239">
        <f>(E9*30.126)/1000</f>
        <v>13225.01274</v>
      </c>
      <c r="G9" s="563">
        <v>395000</v>
      </c>
      <c r="H9" s="569">
        <f>G9*30.126/1000</f>
        <v>11899.77</v>
      </c>
      <c r="I9" s="257">
        <v>395000</v>
      </c>
      <c r="J9" s="257">
        <f>I9*30.126/1000</f>
        <v>11899.77</v>
      </c>
      <c r="K9" s="257">
        <v>380000</v>
      </c>
      <c r="L9" s="257">
        <f>K9*30.126/1000</f>
        <v>11447.88</v>
      </c>
      <c r="M9" s="257">
        <v>380000</v>
      </c>
      <c r="N9" s="249">
        <f>M9*30.126/1000</f>
        <v>11447.88</v>
      </c>
      <c r="O9" s="257">
        <v>395000</v>
      </c>
      <c r="P9" s="1576">
        <f>O9*30.126/1000</f>
        <v>11899.77</v>
      </c>
      <c r="Q9" s="428">
        <v>395000</v>
      </c>
      <c r="R9" s="429">
        <f>Q9*30.126/1000</f>
        <v>11899.77</v>
      </c>
      <c r="S9" s="2246"/>
      <c r="T9" s="257"/>
      <c r="U9" s="257"/>
      <c r="V9" s="311"/>
    </row>
    <row r="10" spans="1:22" s="30" customFormat="1" ht="19.5" customHeight="1">
      <c r="A10" s="1729" t="s">
        <v>469</v>
      </c>
      <c r="B10" s="1730" t="s">
        <v>967</v>
      </c>
      <c r="C10" s="813">
        <f>SUM(C11:C14)</f>
        <v>4486</v>
      </c>
      <c r="D10" s="2504">
        <f aca="true" t="shared" si="3" ref="D10:N10">SUM(D11:D14)</f>
        <v>8988</v>
      </c>
      <c r="E10" s="2722">
        <f t="shared" si="3"/>
        <v>138850</v>
      </c>
      <c r="F10" s="2723">
        <f t="shared" si="3"/>
        <v>4183.003038</v>
      </c>
      <c r="G10" s="559">
        <f t="shared" si="3"/>
        <v>109706</v>
      </c>
      <c r="H10" s="362">
        <f t="shared" si="3"/>
        <v>3305.0029560000003</v>
      </c>
      <c r="I10" s="363">
        <f t="shared" si="3"/>
        <v>76346</v>
      </c>
      <c r="J10" s="363">
        <f t="shared" si="3"/>
        <v>2299.999596</v>
      </c>
      <c r="K10" s="363">
        <f t="shared" si="3"/>
        <v>159331</v>
      </c>
      <c r="L10" s="363">
        <f t="shared" si="3"/>
        <v>4800.005706</v>
      </c>
      <c r="M10" s="363">
        <f t="shared" si="3"/>
        <v>232358</v>
      </c>
      <c r="N10" s="363">
        <f t="shared" si="3"/>
        <v>7000.017108</v>
      </c>
      <c r="O10" s="363">
        <f>SUM(O11:O14)</f>
        <v>76346</v>
      </c>
      <c r="P10" s="1573">
        <f>SUM(P11:P14)</f>
        <v>2299.999596</v>
      </c>
      <c r="Q10" s="362">
        <f>SUM(Q11:Q14)</f>
        <v>76346</v>
      </c>
      <c r="R10" s="350">
        <f>SUM(R11:R14)</f>
        <v>2299.999596</v>
      </c>
      <c r="S10" s="843">
        <v>76346</v>
      </c>
      <c r="T10" s="363">
        <f>S10*30.126/1000</f>
        <v>2299.999596</v>
      </c>
      <c r="U10" s="363">
        <v>76346</v>
      </c>
      <c r="V10" s="364">
        <f>U10*30.126/1000</f>
        <v>2299.999596</v>
      </c>
    </row>
    <row r="11" spans="1:22" ht="15" customHeight="1">
      <c r="A11" s="1736"/>
      <c r="B11" s="1737" t="s">
        <v>36</v>
      </c>
      <c r="C11" s="814">
        <v>3995</v>
      </c>
      <c r="D11" s="2709">
        <v>5969</v>
      </c>
      <c r="E11" s="2717">
        <v>94039</v>
      </c>
      <c r="F11" s="2718">
        <f>(E11*30.126)/1000</f>
        <v>2833.018914</v>
      </c>
      <c r="G11" s="597">
        <v>66388</v>
      </c>
      <c r="H11" s="582">
        <f>G11*30.126/1000</f>
        <v>2000.004888</v>
      </c>
      <c r="I11" s="279">
        <v>66388</v>
      </c>
      <c r="J11" s="279">
        <f>I11*30.126/1000</f>
        <v>2000.004888</v>
      </c>
      <c r="K11" s="279">
        <v>116179</v>
      </c>
      <c r="L11" s="279">
        <f>K11*30.126/1000</f>
        <v>3500.008554</v>
      </c>
      <c r="M11" s="279">
        <v>199164</v>
      </c>
      <c r="N11" s="279">
        <f>M11*30.126/1000</f>
        <v>6000.014664</v>
      </c>
      <c r="O11" s="279">
        <v>66388</v>
      </c>
      <c r="P11" s="1609">
        <f>O11*30.126/1000</f>
        <v>2000.004888</v>
      </c>
      <c r="Q11" s="976">
        <v>66388</v>
      </c>
      <c r="R11" s="2748">
        <f>Q11*30.126/1000</f>
        <v>2000.004888</v>
      </c>
      <c r="S11" s="2447"/>
      <c r="T11" s="279"/>
      <c r="U11" s="279"/>
      <c r="V11" s="316"/>
    </row>
    <row r="12" spans="1:22" ht="15" customHeight="1">
      <c r="A12" s="103"/>
      <c r="B12" s="1738" t="s">
        <v>227</v>
      </c>
      <c r="C12" s="1232"/>
      <c r="D12" s="2710"/>
      <c r="E12" s="2719">
        <v>14937</v>
      </c>
      <c r="F12" s="2720">
        <v>450</v>
      </c>
      <c r="G12" s="561"/>
      <c r="H12" s="567"/>
      <c r="I12" s="256"/>
      <c r="J12" s="256"/>
      <c r="K12" s="256"/>
      <c r="L12" s="256"/>
      <c r="M12" s="256"/>
      <c r="N12" s="256"/>
      <c r="O12" s="256"/>
      <c r="P12" s="1575"/>
      <c r="Q12" s="978"/>
      <c r="R12" s="2749"/>
      <c r="S12" s="2744"/>
      <c r="T12" s="256"/>
      <c r="U12" s="256"/>
      <c r="V12" s="441"/>
    </row>
    <row r="13" spans="1:22" ht="15" customHeight="1">
      <c r="A13" s="103"/>
      <c r="B13" s="1739" t="s">
        <v>1051</v>
      </c>
      <c r="C13" s="817"/>
      <c r="D13" s="1758">
        <v>2512</v>
      </c>
      <c r="E13" s="2721">
        <v>19916</v>
      </c>
      <c r="F13" s="2239">
        <f>(E13*30.126)/1000</f>
        <v>599.989416</v>
      </c>
      <c r="G13" s="563">
        <v>33360</v>
      </c>
      <c r="H13" s="567">
        <f>G13*30.126/1000</f>
        <v>1005.0033599999999</v>
      </c>
      <c r="I13" s="257"/>
      <c r="J13" s="257"/>
      <c r="K13" s="257">
        <v>26555</v>
      </c>
      <c r="L13" s="257">
        <f>K13*30.126/1000</f>
        <v>799.99593</v>
      </c>
      <c r="M13" s="257">
        <v>16597</v>
      </c>
      <c r="N13" s="257">
        <f>M13*30.126/1000</f>
        <v>500.001222</v>
      </c>
      <c r="O13" s="257"/>
      <c r="P13" s="1576"/>
      <c r="Q13" s="428"/>
      <c r="R13" s="429"/>
      <c r="S13" s="2246"/>
      <c r="T13" s="257"/>
      <c r="U13" s="257"/>
      <c r="V13" s="311"/>
    </row>
    <row r="14" spans="1:22" ht="15" customHeight="1" thickBot="1">
      <c r="A14" s="1740"/>
      <c r="B14" s="1741" t="s">
        <v>470</v>
      </c>
      <c r="C14" s="1233">
        <v>491</v>
      </c>
      <c r="D14" s="2711">
        <v>507</v>
      </c>
      <c r="E14" s="2724">
        <v>9958</v>
      </c>
      <c r="F14" s="2725">
        <f>(E14*30.126)/1000</f>
        <v>299.994708</v>
      </c>
      <c r="G14" s="2712">
        <v>9958</v>
      </c>
      <c r="H14" s="583">
        <f>G14*30.126/1000</f>
        <v>299.994708</v>
      </c>
      <c r="I14" s="373">
        <v>9958</v>
      </c>
      <c r="J14" s="373">
        <f>I14*30.126/1000</f>
        <v>299.994708</v>
      </c>
      <c r="K14" s="373">
        <v>16597</v>
      </c>
      <c r="L14" s="373">
        <f>K14*30.126/1000</f>
        <v>500.001222</v>
      </c>
      <c r="M14" s="373">
        <v>16597</v>
      </c>
      <c r="N14" s="373">
        <f>M14*30.126/1000</f>
        <v>500.001222</v>
      </c>
      <c r="O14" s="373">
        <v>9958</v>
      </c>
      <c r="P14" s="1610">
        <f>O14*30.126/1000</f>
        <v>299.994708</v>
      </c>
      <c r="Q14" s="980">
        <v>9958</v>
      </c>
      <c r="R14" s="2750">
        <f>Q14*30.126/1000</f>
        <v>299.994708</v>
      </c>
      <c r="S14" s="2745"/>
      <c r="T14" s="373"/>
      <c r="U14" s="373"/>
      <c r="V14" s="374"/>
    </row>
    <row r="15" spans="1:22" s="30" customFormat="1" ht="19.5" customHeight="1" thickBot="1">
      <c r="A15" s="370"/>
      <c r="B15" s="371"/>
      <c r="C15" s="369"/>
      <c r="D15" s="369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</row>
    <row r="16" spans="1:22" s="23" customFormat="1" ht="39.75" customHeight="1" thickTop="1">
      <c r="A16" s="2897"/>
      <c r="B16" s="2898"/>
      <c r="C16" s="539" t="s">
        <v>506</v>
      </c>
      <c r="D16" s="2314" t="s">
        <v>507</v>
      </c>
      <c r="E16" s="2839" t="s">
        <v>1182</v>
      </c>
      <c r="F16" s="2840"/>
      <c r="G16" s="460" t="s">
        <v>510</v>
      </c>
      <c r="H16" s="496" t="s">
        <v>510</v>
      </c>
      <c r="I16" s="497" t="s">
        <v>87</v>
      </c>
      <c r="J16" s="497" t="s">
        <v>87</v>
      </c>
      <c r="K16" s="2870" t="s">
        <v>509</v>
      </c>
      <c r="L16" s="2870"/>
      <c r="M16" s="2870" t="s">
        <v>508</v>
      </c>
      <c r="N16" s="2870"/>
      <c r="O16" s="498" t="s">
        <v>952</v>
      </c>
      <c r="P16" s="1571" t="s">
        <v>952</v>
      </c>
      <c r="Q16" s="2901" t="s">
        <v>183</v>
      </c>
      <c r="R16" s="2902"/>
      <c r="S16" s="2892" t="s">
        <v>725</v>
      </c>
      <c r="T16" s="2875"/>
      <c r="U16" s="2875" t="s">
        <v>726</v>
      </c>
      <c r="V16" s="2878"/>
    </row>
    <row r="17" spans="1:22" s="24" customFormat="1" ht="15" customHeight="1" thickBot="1">
      <c r="A17" s="2903"/>
      <c r="B17" s="2904"/>
      <c r="C17" s="540" t="s">
        <v>966</v>
      </c>
      <c r="D17" s="2315" t="s">
        <v>966</v>
      </c>
      <c r="E17" s="2318" t="s">
        <v>435</v>
      </c>
      <c r="F17" s="2234" t="s">
        <v>966</v>
      </c>
      <c r="G17" s="571" t="s">
        <v>435</v>
      </c>
      <c r="H17" s="240" t="s">
        <v>966</v>
      </c>
      <c r="I17" s="499" t="s">
        <v>435</v>
      </c>
      <c r="J17" s="499" t="s">
        <v>966</v>
      </c>
      <c r="K17" s="241" t="s">
        <v>435</v>
      </c>
      <c r="L17" s="241" t="s">
        <v>966</v>
      </c>
      <c r="M17" s="241" t="s">
        <v>435</v>
      </c>
      <c r="N17" s="241" t="s">
        <v>966</v>
      </c>
      <c r="O17" s="500" t="s">
        <v>435</v>
      </c>
      <c r="P17" s="1572" t="s">
        <v>966</v>
      </c>
      <c r="Q17" s="240" t="s">
        <v>435</v>
      </c>
      <c r="R17" s="981" t="s">
        <v>966</v>
      </c>
      <c r="S17" s="797" t="s">
        <v>435</v>
      </c>
      <c r="T17" s="241" t="s">
        <v>966</v>
      </c>
      <c r="U17" s="241" t="s">
        <v>435</v>
      </c>
      <c r="V17" s="796" t="s">
        <v>966</v>
      </c>
    </row>
    <row r="18" spans="1:22" s="420" customFormat="1" ht="19.5" customHeight="1">
      <c r="A18" s="1174" t="s">
        <v>735</v>
      </c>
      <c r="B18" s="1717" t="s">
        <v>318</v>
      </c>
      <c r="C18" s="1019">
        <f aca="true" t="shared" si="4" ref="C18:C23">C21</f>
        <v>0</v>
      </c>
      <c r="D18" s="1598">
        <f aca="true" t="shared" si="5" ref="D18:N18">D21</f>
        <v>0</v>
      </c>
      <c r="E18" s="2728">
        <f t="shared" si="5"/>
        <v>0</v>
      </c>
      <c r="F18" s="2729">
        <f t="shared" si="5"/>
        <v>0</v>
      </c>
      <c r="G18" s="1102">
        <f t="shared" si="5"/>
        <v>229684</v>
      </c>
      <c r="H18" s="1177">
        <f t="shared" si="5"/>
        <v>6919.4601840000005</v>
      </c>
      <c r="I18" s="1178">
        <f t="shared" si="5"/>
        <v>229684</v>
      </c>
      <c r="J18" s="1178">
        <f t="shared" si="5"/>
        <v>6919.4601840000005</v>
      </c>
      <c r="K18" s="1178">
        <f t="shared" si="5"/>
        <v>32813</v>
      </c>
      <c r="L18" s="1178">
        <f t="shared" si="5"/>
        <v>988.5244380000001</v>
      </c>
      <c r="M18" s="1178">
        <f t="shared" si="5"/>
        <v>0</v>
      </c>
      <c r="N18" s="1178">
        <f t="shared" si="5"/>
        <v>0</v>
      </c>
      <c r="O18" s="1178">
        <f aca="true" t="shared" si="6" ref="O18:P23">O21</f>
        <v>229684</v>
      </c>
      <c r="P18" s="1598">
        <f t="shared" si="6"/>
        <v>6919.4601840000005</v>
      </c>
      <c r="Q18" s="1177">
        <f aca="true" t="shared" si="7" ref="Q18:R23">Q21</f>
        <v>229684</v>
      </c>
      <c r="R18" s="1176">
        <f t="shared" si="7"/>
        <v>6919.4601840000005</v>
      </c>
      <c r="S18" s="1019">
        <f aca="true" t="shared" si="8" ref="S18:V23">S21</f>
        <v>32813</v>
      </c>
      <c r="T18" s="1178">
        <f t="shared" si="8"/>
        <v>988.5244380000001</v>
      </c>
      <c r="U18" s="1178">
        <f t="shared" si="8"/>
        <v>0</v>
      </c>
      <c r="V18" s="1179">
        <f t="shared" si="8"/>
        <v>0</v>
      </c>
    </row>
    <row r="19" spans="1:22" s="30" customFormat="1" ht="15" customHeight="1">
      <c r="A19" s="1180"/>
      <c r="B19" s="1718" t="s">
        <v>7</v>
      </c>
      <c r="C19" s="1028">
        <f t="shared" si="4"/>
        <v>0</v>
      </c>
      <c r="D19" s="1599">
        <f aca="true" t="shared" si="9" ref="D19:N19">D22</f>
        <v>0</v>
      </c>
      <c r="E19" s="2730">
        <f t="shared" si="9"/>
        <v>0</v>
      </c>
      <c r="F19" s="2731">
        <f t="shared" si="9"/>
        <v>0</v>
      </c>
      <c r="G19" s="369">
        <f t="shared" si="9"/>
        <v>11483</v>
      </c>
      <c r="H19" s="1183">
        <f t="shared" si="9"/>
        <v>345.93685800000003</v>
      </c>
      <c r="I19" s="1184">
        <f t="shared" si="9"/>
        <v>11483</v>
      </c>
      <c r="J19" s="1184">
        <f t="shared" si="9"/>
        <v>345.93685800000003</v>
      </c>
      <c r="K19" s="1184">
        <f t="shared" si="9"/>
        <v>1642</v>
      </c>
      <c r="L19" s="1184">
        <f t="shared" si="9"/>
        <v>49.466892</v>
      </c>
      <c r="M19" s="1184">
        <f t="shared" si="9"/>
        <v>0</v>
      </c>
      <c r="N19" s="1184">
        <f t="shared" si="9"/>
        <v>0</v>
      </c>
      <c r="O19" s="1184">
        <f t="shared" si="6"/>
        <v>11483</v>
      </c>
      <c r="P19" s="1599">
        <f t="shared" si="6"/>
        <v>345.93685800000003</v>
      </c>
      <c r="Q19" s="1183">
        <f t="shared" si="7"/>
        <v>11483</v>
      </c>
      <c r="R19" s="1182">
        <f t="shared" si="7"/>
        <v>345.93685800000003</v>
      </c>
      <c r="S19" s="1028">
        <f t="shared" si="8"/>
        <v>1642</v>
      </c>
      <c r="T19" s="1184">
        <f t="shared" si="8"/>
        <v>49.466892</v>
      </c>
      <c r="U19" s="1184">
        <f t="shared" si="8"/>
        <v>0</v>
      </c>
      <c r="V19" s="1185">
        <f t="shared" si="8"/>
        <v>0</v>
      </c>
    </row>
    <row r="20" spans="1:22" s="49" customFormat="1" ht="15" customHeight="1">
      <c r="A20" s="1186"/>
      <c r="B20" s="1719" t="s">
        <v>8</v>
      </c>
      <c r="C20" s="1037">
        <f t="shared" si="4"/>
        <v>0</v>
      </c>
      <c r="D20" s="1600">
        <f aca="true" t="shared" si="10" ref="D20:N20">D23</f>
        <v>0</v>
      </c>
      <c r="E20" s="2732">
        <f t="shared" si="10"/>
        <v>0</v>
      </c>
      <c r="F20" s="2733">
        <f t="shared" si="10"/>
        <v>0</v>
      </c>
      <c r="G20" s="1082">
        <f t="shared" si="10"/>
        <v>218201</v>
      </c>
      <c r="H20" s="1189">
        <f t="shared" si="10"/>
        <v>6573.523326</v>
      </c>
      <c r="I20" s="1190">
        <f t="shared" si="10"/>
        <v>218201</v>
      </c>
      <c r="J20" s="1190">
        <f t="shared" si="10"/>
        <v>6573.523326</v>
      </c>
      <c r="K20" s="1190">
        <f t="shared" si="10"/>
        <v>31171</v>
      </c>
      <c r="L20" s="1190">
        <f t="shared" si="10"/>
        <v>939.0575460000001</v>
      </c>
      <c r="M20" s="1190">
        <f t="shared" si="10"/>
        <v>0</v>
      </c>
      <c r="N20" s="1190">
        <f t="shared" si="10"/>
        <v>0</v>
      </c>
      <c r="O20" s="1190">
        <f t="shared" si="6"/>
        <v>218201</v>
      </c>
      <c r="P20" s="1600">
        <f t="shared" si="6"/>
        <v>6573.523326</v>
      </c>
      <c r="Q20" s="1189">
        <f t="shared" si="7"/>
        <v>218201</v>
      </c>
      <c r="R20" s="1188">
        <f t="shared" si="7"/>
        <v>6573.523326</v>
      </c>
      <c r="S20" s="1037">
        <f t="shared" si="8"/>
        <v>31171</v>
      </c>
      <c r="T20" s="1190">
        <f t="shared" si="8"/>
        <v>939.0575460000001</v>
      </c>
      <c r="U20" s="1190">
        <f t="shared" si="8"/>
        <v>0</v>
      </c>
      <c r="V20" s="1191">
        <f t="shared" si="8"/>
        <v>0</v>
      </c>
    </row>
    <row r="21" spans="1:22" s="49" customFormat="1" ht="15" customHeight="1">
      <c r="A21" s="1192"/>
      <c r="B21" s="1720" t="s">
        <v>967</v>
      </c>
      <c r="C21" s="1046">
        <f t="shared" si="4"/>
        <v>0</v>
      </c>
      <c r="D21" s="1601">
        <f aca="true" t="shared" si="11" ref="D21:N21">D24</f>
        <v>0</v>
      </c>
      <c r="E21" s="2734">
        <f t="shared" si="11"/>
        <v>0</v>
      </c>
      <c r="F21" s="2735">
        <f t="shared" si="11"/>
        <v>0</v>
      </c>
      <c r="G21" s="1083">
        <f t="shared" si="11"/>
        <v>229684</v>
      </c>
      <c r="H21" s="1195">
        <f t="shared" si="11"/>
        <v>6919.4601840000005</v>
      </c>
      <c r="I21" s="1196">
        <f t="shared" si="11"/>
        <v>229684</v>
      </c>
      <c r="J21" s="1196">
        <f t="shared" si="11"/>
        <v>6919.4601840000005</v>
      </c>
      <c r="K21" s="1196">
        <f t="shared" si="11"/>
        <v>32813</v>
      </c>
      <c r="L21" s="1196">
        <f t="shared" si="11"/>
        <v>988.5244380000001</v>
      </c>
      <c r="M21" s="1196">
        <f t="shared" si="11"/>
        <v>0</v>
      </c>
      <c r="N21" s="1196">
        <f t="shared" si="11"/>
        <v>0</v>
      </c>
      <c r="O21" s="1196">
        <f t="shared" si="6"/>
        <v>229684</v>
      </c>
      <c r="P21" s="1601">
        <f t="shared" si="6"/>
        <v>6919.4601840000005</v>
      </c>
      <c r="Q21" s="1195">
        <f t="shared" si="7"/>
        <v>229684</v>
      </c>
      <c r="R21" s="1194">
        <f t="shared" si="7"/>
        <v>6919.4601840000005</v>
      </c>
      <c r="S21" s="1046">
        <f t="shared" si="8"/>
        <v>32813</v>
      </c>
      <c r="T21" s="1196">
        <f t="shared" si="8"/>
        <v>988.5244380000001</v>
      </c>
      <c r="U21" s="1196">
        <f t="shared" si="8"/>
        <v>0</v>
      </c>
      <c r="V21" s="1197">
        <f t="shared" si="8"/>
        <v>0</v>
      </c>
    </row>
    <row r="22" spans="1:22" s="30" customFormat="1" ht="15" customHeight="1">
      <c r="A22" s="1180"/>
      <c r="B22" s="1718" t="s">
        <v>7</v>
      </c>
      <c r="C22" s="1028">
        <f t="shared" si="4"/>
        <v>0</v>
      </c>
      <c r="D22" s="1599">
        <f aca="true" t="shared" si="12" ref="D22:N22">D25</f>
        <v>0</v>
      </c>
      <c r="E22" s="2730">
        <f t="shared" si="12"/>
        <v>0</v>
      </c>
      <c r="F22" s="2731">
        <f t="shared" si="12"/>
        <v>0</v>
      </c>
      <c r="G22" s="369">
        <f t="shared" si="12"/>
        <v>11483</v>
      </c>
      <c r="H22" s="1183">
        <f t="shared" si="12"/>
        <v>345.93685800000003</v>
      </c>
      <c r="I22" s="1184">
        <f t="shared" si="12"/>
        <v>11483</v>
      </c>
      <c r="J22" s="1184">
        <f t="shared" si="12"/>
        <v>345.93685800000003</v>
      </c>
      <c r="K22" s="1184">
        <f t="shared" si="12"/>
        <v>1642</v>
      </c>
      <c r="L22" s="1184">
        <f t="shared" si="12"/>
        <v>49.466892</v>
      </c>
      <c r="M22" s="1184">
        <f t="shared" si="12"/>
        <v>0</v>
      </c>
      <c r="N22" s="1184">
        <f t="shared" si="12"/>
        <v>0</v>
      </c>
      <c r="O22" s="1184">
        <f t="shared" si="6"/>
        <v>11483</v>
      </c>
      <c r="P22" s="1599">
        <f t="shared" si="6"/>
        <v>345.93685800000003</v>
      </c>
      <c r="Q22" s="1183">
        <f t="shared" si="7"/>
        <v>11483</v>
      </c>
      <c r="R22" s="1182">
        <f t="shared" si="7"/>
        <v>345.93685800000003</v>
      </c>
      <c r="S22" s="1028">
        <f t="shared" si="8"/>
        <v>1642</v>
      </c>
      <c r="T22" s="1184">
        <f t="shared" si="8"/>
        <v>49.466892</v>
      </c>
      <c r="U22" s="1184">
        <f t="shared" si="8"/>
        <v>0</v>
      </c>
      <c r="V22" s="1185">
        <f t="shared" si="8"/>
        <v>0</v>
      </c>
    </row>
    <row r="23" spans="1:22" s="49" customFormat="1" ht="15" customHeight="1">
      <c r="A23" s="1198"/>
      <c r="B23" s="1721" t="s">
        <v>8</v>
      </c>
      <c r="C23" s="1055">
        <f t="shared" si="4"/>
        <v>0</v>
      </c>
      <c r="D23" s="1602">
        <f aca="true" t="shared" si="13" ref="D23:N23">D26</f>
        <v>0</v>
      </c>
      <c r="E23" s="2736">
        <f t="shared" si="13"/>
        <v>0</v>
      </c>
      <c r="F23" s="2737">
        <f t="shared" si="13"/>
        <v>0</v>
      </c>
      <c r="G23" s="1084">
        <f t="shared" si="13"/>
        <v>218201</v>
      </c>
      <c r="H23" s="1201">
        <f t="shared" si="13"/>
        <v>6573.523326</v>
      </c>
      <c r="I23" s="1202">
        <f t="shared" si="13"/>
        <v>218201</v>
      </c>
      <c r="J23" s="1202">
        <f t="shared" si="13"/>
        <v>6573.523326</v>
      </c>
      <c r="K23" s="1202">
        <f t="shared" si="13"/>
        <v>31171</v>
      </c>
      <c r="L23" s="1202">
        <f t="shared" si="13"/>
        <v>939.0575460000001</v>
      </c>
      <c r="M23" s="1202">
        <f t="shared" si="13"/>
        <v>0</v>
      </c>
      <c r="N23" s="1202">
        <f t="shared" si="13"/>
        <v>0</v>
      </c>
      <c r="O23" s="1202">
        <f t="shared" si="6"/>
        <v>218201</v>
      </c>
      <c r="P23" s="1602">
        <f t="shared" si="6"/>
        <v>6573.523326</v>
      </c>
      <c r="Q23" s="1201">
        <f t="shared" si="7"/>
        <v>218201</v>
      </c>
      <c r="R23" s="1200">
        <f t="shared" si="7"/>
        <v>6573.523326</v>
      </c>
      <c r="S23" s="1055">
        <f t="shared" si="8"/>
        <v>31171</v>
      </c>
      <c r="T23" s="1202">
        <f t="shared" si="8"/>
        <v>939.0575460000001</v>
      </c>
      <c r="U23" s="1202">
        <f t="shared" si="8"/>
        <v>0</v>
      </c>
      <c r="V23" s="1203">
        <f t="shared" si="8"/>
        <v>0</v>
      </c>
    </row>
    <row r="24" spans="1:22" s="65" customFormat="1" ht="25.5">
      <c r="A24" s="1204"/>
      <c r="B24" s="1743" t="s">
        <v>324</v>
      </c>
      <c r="C24" s="1234">
        <f aca="true" t="shared" si="14" ref="C24:H24">SUM(C25:C26)</f>
        <v>0</v>
      </c>
      <c r="D24" s="1611">
        <f t="shared" si="14"/>
        <v>0</v>
      </c>
      <c r="E24" s="2738">
        <f t="shared" si="14"/>
        <v>0</v>
      </c>
      <c r="F24" s="2739">
        <f t="shared" si="14"/>
        <v>0</v>
      </c>
      <c r="G24" s="1163">
        <f t="shared" si="14"/>
        <v>229684</v>
      </c>
      <c r="H24" s="1222">
        <f t="shared" si="14"/>
        <v>6919.4601840000005</v>
      </c>
      <c r="I24" s="1224">
        <f aca="true" t="shared" si="15" ref="I24:N24">SUM(I25:I26)</f>
        <v>229684</v>
      </c>
      <c r="J24" s="1224">
        <f t="shared" si="15"/>
        <v>6919.4601840000005</v>
      </c>
      <c r="K24" s="1224">
        <f t="shared" si="15"/>
        <v>32813</v>
      </c>
      <c r="L24" s="1224">
        <f t="shared" si="15"/>
        <v>988.5244380000001</v>
      </c>
      <c r="M24" s="1224">
        <f t="shared" si="15"/>
        <v>0</v>
      </c>
      <c r="N24" s="1224">
        <f t="shared" si="15"/>
        <v>0</v>
      </c>
      <c r="O24" s="1224">
        <f aca="true" t="shared" si="16" ref="O24:V24">SUM(O25:O26)</f>
        <v>229684</v>
      </c>
      <c r="P24" s="1611">
        <f t="shared" si="16"/>
        <v>6919.4601840000005</v>
      </c>
      <c r="Q24" s="1222">
        <f t="shared" si="16"/>
        <v>229684</v>
      </c>
      <c r="R24" s="1223">
        <f t="shared" si="16"/>
        <v>6919.4601840000005</v>
      </c>
      <c r="S24" s="1234">
        <f t="shared" si="16"/>
        <v>32813</v>
      </c>
      <c r="T24" s="1224">
        <f t="shared" si="16"/>
        <v>988.5244380000001</v>
      </c>
      <c r="U24" s="1224">
        <f t="shared" si="16"/>
        <v>0</v>
      </c>
      <c r="V24" s="1742">
        <f t="shared" si="16"/>
        <v>0</v>
      </c>
    </row>
    <row r="25" spans="1:22" s="26" customFormat="1" ht="15" customHeight="1">
      <c r="A25" s="121"/>
      <c r="B25" s="1694" t="s">
        <v>340</v>
      </c>
      <c r="C25" s="845"/>
      <c r="D25" s="2726"/>
      <c r="E25" s="2740"/>
      <c r="F25" s="2741"/>
      <c r="G25" s="1211">
        <v>11483</v>
      </c>
      <c r="H25" s="1209">
        <f>G25*30.126/1000</f>
        <v>345.93685800000003</v>
      </c>
      <c r="I25" s="1212">
        <v>11483</v>
      </c>
      <c r="J25" s="1212">
        <f>I25*30.126/1000</f>
        <v>345.93685800000003</v>
      </c>
      <c r="K25" s="1212">
        <v>1642</v>
      </c>
      <c r="L25" s="1212">
        <f>K25*30.126/1000</f>
        <v>49.466892</v>
      </c>
      <c r="M25" s="1212"/>
      <c r="N25" s="1212"/>
      <c r="O25" s="1212">
        <v>11483</v>
      </c>
      <c r="P25" s="1604">
        <f>O25*30.126/1000</f>
        <v>345.93685800000003</v>
      </c>
      <c r="Q25" s="1209">
        <v>11483</v>
      </c>
      <c r="R25" s="1210">
        <f>Q25*30.126/1000</f>
        <v>345.93685800000003</v>
      </c>
      <c r="S25" s="2746">
        <v>1642</v>
      </c>
      <c r="T25" s="1212">
        <f>S25*30.126/1000</f>
        <v>49.466892</v>
      </c>
      <c r="U25" s="1212"/>
      <c r="V25" s="1213"/>
    </row>
    <row r="26" spans="1:22" s="25" customFormat="1" ht="15" customHeight="1" thickBot="1">
      <c r="A26" s="1214"/>
      <c r="B26" s="1723" t="s">
        <v>341</v>
      </c>
      <c r="C26" s="1235"/>
      <c r="D26" s="2727"/>
      <c r="E26" s="2742"/>
      <c r="F26" s="2743"/>
      <c r="G26" s="1217">
        <v>218201</v>
      </c>
      <c r="H26" s="1218">
        <f>G26*30.126/1000</f>
        <v>6573.523326</v>
      </c>
      <c r="I26" s="1219">
        <v>218201</v>
      </c>
      <c r="J26" s="1219">
        <f>I26*30.126/1000</f>
        <v>6573.523326</v>
      </c>
      <c r="K26" s="1219">
        <v>31171</v>
      </c>
      <c r="L26" s="1219">
        <f>K26*30.126/1000</f>
        <v>939.0575460000001</v>
      </c>
      <c r="M26" s="1219"/>
      <c r="N26" s="1220"/>
      <c r="O26" s="1219">
        <v>218201</v>
      </c>
      <c r="P26" s="1605">
        <f>O26*30.126/1000</f>
        <v>6573.523326</v>
      </c>
      <c r="Q26" s="1215">
        <v>218201</v>
      </c>
      <c r="R26" s="1216">
        <f>Q26*30.126/1000</f>
        <v>6573.523326</v>
      </c>
      <c r="S26" s="2747">
        <v>31171</v>
      </c>
      <c r="T26" s="1219">
        <f>S26*30.126/1000</f>
        <v>939.0575460000001</v>
      </c>
      <c r="U26" s="1219"/>
      <c r="V26" s="1221"/>
    </row>
    <row r="27" ht="19.5" customHeight="1" thickBot="1"/>
    <row r="28" spans="1:22" s="23" customFormat="1" ht="39.75" customHeight="1" thickTop="1">
      <c r="A28" s="2872"/>
      <c r="B28" s="2893"/>
      <c r="C28" s="539" t="s">
        <v>506</v>
      </c>
      <c r="D28" s="2314" t="s">
        <v>507</v>
      </c>
      <c r="E28" s="2839" t="s">
        <v>1182</v>
      </c>
      <c r="F28" s="2840"/>
      <c r="G28" s="460" t="s">
        <v>510</v>
      </c>
      <c r="H28" s="496" t="s">
        <v>510</v>
      </c>
      <c r="I28" s="497" t="s">
        <v>87</v>
      </c>
      <c r="J28" s="497" t="s">
        <v>87</v>
      </c>
      <c r="K28" s="2870" t="s">
        <v>509</v>
      </c>
      <c r="L28" s="2870"/>
      <c r="M28" s="2870" t="s">
        <v>508</v>
      </c>
      <c r="N28" s="2870"/>
      <c r="O28" s="498" t="s">
        <v>952</v>
      </c>
      <c r="P28" s="1571" t="s">
        <v>952</v>
      </c>
      <c r="Q28" s="2901" t="s">
        <v>183</v>
      </c>
      <c r="R28" s="2902"/>
      <c r="S28" s="2892" t="s">
        <v>725</v>
      </c>
      <c r="T28" s="2875"/>
      <c r="U28" s="2875" t="s">
        <v>726</v>
      </c>
      <c r="V28" s="2878"/>
    </row>
    <row r="29" spans="1:22" s="24" customFormat="1" ht="15" customHeight="1" thickBot="1">
      <c r="A29" s="2856"/>
      <c r="B29" s="2894"/>
      <c r="C29" s="540" t="s">
        <v>966</v>
      </c>
      <c r="D29" s="2315" t="s">
        <v>966</v>
      </c>
      <c r="E29" s="2318" t="s">
        <v>435</v>
      </c>
      <c r="F29" s="2234" t="s">
        <v>966</v>
      </c>
      <c r="G29" s="461" t="s">
        <v>435</v>
      </c>
      <c r="H29" s="352" t="s">
        <v>966</v>
      </c>
      <c r="I29" s="499" t="s">
        <v>435</v>
      </c>
      <c r="J29" s="499" t="s">
        <v>966</v>
      </c>
      <c r="K29" s="241" t="s">
        <v>435</v>
      </c>
      <c r="L29" s="241" t="s">
        <v>966</v>
      </c>
      <c r="M29" s="241" t="s">
        <v>435</v>
      </c>
      <c r="N29" s="241" t="s">
        <v>966</v>
      </c>
      <c r="O29" s="500" t="s">
        <v>435</v>
      </c>
      <c r="P29" s="1572" t="s">
        <v>966</v>
      </c>
      <c r="Q29" s="240" t="s">
        <v>435</v>
      </c>
      <c r="R29" s="981" t="s">
        <v>966</v>
      </c>
      <c r="S29" s="797" t="s">
        <v>435</v>
      </c>
      <c r="T29" s="241" t="s">
        <v>966</v>
      </c>
      <c r="U29" s="241" t="s">
        <v>435</v>
      </c>
      <c r="V29" s="796" t="s">
        <v>966</v>
      </c>
    </row>
    <row r="30" spans="1:22" s="23" customFormat="1" ht="19.5" customHeight="1">
      <c r="A30" s="1666" t="s">
        <v>350</v>
      </c>
      <c r="B30" s="1704" t="s">
        <v>326</v>
      </c>
      <c r="C30" s="541">
        <f aca="true" t="shared" si="17" ref="C30:V30">C4+C18</f>
        <v>30817</v>
      </c>
      <c r="D30" s="1606">
        <f t="shared" si="17"/>
        <v>31152</v>
      </c>
      <c r="E30" s="2319">
        <f t="shared" si="17"/>
        <v>945197</v>
      </c>
      <c r="F30" s="2320">
        <f t="shared" si="17"/>
        <v>28475.012759999998</v>
      </c>
      <c r="G30" s="584">
        <f t="shared" si="17"/>
        <v>1033135</v>
      </c>
      <c r="H30" s="555">
        <f t="shared" si="17"/>
        <v>31124.225010000002</v>
      </c>
      <c r="I30" s="487">
        <f t="shared" si="17"/>
        <v>999775</v>
      </c>
      <c r="J30" s="487">
        <f t="shared" si="17"/>
        <v>30119.221650000003</v>
      </c>
      <c r="K30" s="487">
        <f t="shared" si="17"/>
        <v>887144</v>
      </c>
      <c r="L30" s="487">
        <f t="shared" si="17"/>
        <v>26726.100144</v>
      </c>
      <c r="M30" s="487">
        <f t="shared" si="17"/>
        <v>927358</v>
      </c>
      <c r="N30" s="487">
        <f t="shared" si="17"/>
        <v>27937.587108</v>
      </c>
      <c r="O30" s="487">
        <f t="shared" si="17"/>
        <v>999775</v>
      </c>
      <c r="P30" s="1606">
        <f t="shared" si="17"/>
        <v>30119.221650000003</v>
      </c>
      <c r="Q30" s="555">
        <f t="shared" si="17"/>
        <v>999775</v>
      </c>
      <c r="R30" s="488">
        <f t="shared" si="17"/>
        <v>30119.221650000003</v>
      </c>
      <c r="S30" s="541">
        <f t="shared" si="17"/>
        <v>802904</v>
      </c>
      <c r="T30" s="487">
        <f t="shared" si="17"/>
        <v>24188.285904000004</v>
      </c>
      <c r="U30" s="487">
        <f t="shared" si="17"/>
        <v>770091</v>
      </c>
      <c r="V30" s="503">
        <f t="shared" si="17"/>
        <v>23199.761466000004</v>
      </c>
    </row>
    <row r="31" spans="1:22" s="30" customFormat="1" ht="15" customHeight="1">
      <c r="A31" s="1668"/>
      <c r="B31" s="1705" t="s">
        <v>965</v>
      </c>
      <c r="C31" s="542">
        <f>C5</f>
        <v>26331</v>
      </c>
      <c r="D31" s="1607">
        <f aca="true" t="shared" si="18" ref="D31:N31">D5</f>
        <v>22164</v>
      </c>
      <c r="E31" s="2321">
        <f t="shared" si="18"/>
        <v>806347</v>
      </c>
      <c r="F31" s="2322">
        <f t="shared" si="18"/>
        <v>24292.009722</v>
      </c>
      <c r="G31" s="585">
        <f t="shared" si="18"/>
        <v>693745</v>
      </c>
      <c r="H31" s="556">
        <f t="shared" si="18"/>
        <v>20899.761870000002</v>
      </c>
      <c r="I31" s="489">
        <f t="shared" si="18"/>
        <v>693745</v>
      </c>
      <c r="J31" s="489">
        <f t="shared" si="18"/>
        <v>20899.761870000002</v>
      </c>
      <c r="K31" s="489">
        <f t="shared" si="18"/>
        <v>695000</v>
      </c>
      <c r="L31" s="489">
        <f t="shared" si="18"/>
        <v>20937.57</v>
      </c>
      <c r="M31" s="489">
        <f t="shared" si="18"/>
        <v>695000</v>
      </c>
      <c r="N31" s="489">
        <f t="shared" si="18"/>
        <v>20937.57</v>
      </c>
      <c r="O31" s="489">
        <f aca="true" t="shared" si="19" ref="O31:V31">O5</f>
        <v>693745</v>
      </c>
      <c r="P31" s="1607">
        <f t="shared" si="19"/>
        <v>20899.761870000002</v>
      </c>
      <c r="Q31" s="556">
        <f t="shared" si="19"/>
        <v>693745</v>
      </c>
      <c r="R31" s="490">
        <f t="shared" si="19"/>
        <v>20899.761870000002</v>
      </c>
      <c r="S31" s="542">
        <f t="shared" si="19"/>
        <v>693745</v>
      </c>
      <c r="T31" s="489">
        <f t="shared" si="19"/>
        <v>20899.761870000002</v>
      </c>
      <c r="U31" s="489">
        <f t="shared" si="19"/>
        <v>693745</v>
      </c>
      <c r="V31" s="505">
        <f t="shared" si="19"/>
        <v>20899.761870000002</v>
      </c>
    </row>
    <row r="32" spans="1:22" s="30" customFormat="1" ht="15" customHeight="1" thickBot="1">
      <c r="A32" s="1670"/>
      <c r="B32" s="1706" t="s">
        <v>967</v>
      </c>
      <c r="C32" s="543">
        <f aca="true" t="shared" si="20" ref="C32:V32">C10+C21</f>
        <v>4486</v>
      </c>
      <c r="D32" s="1608">
        <f t="shared" si="20"/>
        <v>8988</v>
      </c>
      <c r="E32" s="2323">
        <f t="shared" si="20"/>
        <v>138850</v>
      </c>
      <c r="F32" s="2324">
        <f t="shared" si="20"/>
        <v>4183.003038</v>
      </c>
      <c r="G32" s="586">
        <f t="shared" si="20"/>
        <v>339390</v>
      </c>
      <c r="H32" s="557">
        <f t="shared" si="20"/>
        <v>10224.46314</v>
      </c>
      <c r="I32" s="491">
        <f t="shared" si="20"/>
        <v>306030</v>
      </c>
      <c r="J32" s="491">
        <f t="shared" si="20"/>
        <v>9219.459780000001</v>
      </c>
      <c r="K32" s="491">
        <f t="shared" si="20"/>
        <v>192144</v>
      </c>
      <c r="L32" s="491">
        <f t="shared" si="20"/>
        <v>5788.530144</v>
      </c>
      <c r="M32" s="491">
        <f t="shared" si="20"/>
        <v>232358</v>
      </c>
      <c r="N32" s="491">
        <f t="shared" si="20"/>
        <v>7000.017108</v>
      </c>
      <c r="O32" s="491">
        <f t="shared" si="20"/>
        <v>306030</v>
      </c>
      <c r="P32" s="1608">
        <f t="shared" si="20"/>
        <v>9219.459780000001</v>
      </c>
      <c r="Q32" s="982">
        <f t="shared" si="20"/>
        <v>306030</v>
      </c>
      <c r="R32" s="983">
        <f t="shared" si="20"/>
        <v>9219.459780000001</v>
      </c>
      <c r="S32" s="543">
        <f t="shared" si="20"/>
        <v>109159</v>
      </c>
      <c r="T32" s="491">
        <f t="shared" si="20"/>
        <v>3288.524034</v>
      </c>
      <c r="U32" s="491">
        <f t="shared" si="20"/>
        <v>76346</v>
      </c>
      <c r="V32" s="507">
        <f t="shared" si="20"/>
        <v>2299.999596</v>
      </c>
    </row>
    <row r="33" ht="30" customHeight="1"/>
    <row r="34" spans="1:21" s="23" customFormat="1" ht="39.75" customHeight="1" hidden="1">
      <c r="A34" s="2910"/>
      <c r="B34" s="2910"/>
      <c r="C34" s="2909"/>
      <c r="D34" s="2909"/>
      <c r="E34" s="2909"/>
      <c r="F34" s="2909"/>
      <c r="G34" s="2909"/>
      <c r="H34" s="2909"/>
      <c r="I34" s="2912"/>
      <c r="J34" s="2912"/>
      <c r="K34" s="2913"/>
      <c r="L34" s="2913"/>
      <c r="M34" s="2913"/>
      <c r="N34" s="2913"/>
      <c r="O34" s="2912"/>
      <c r="P34" s="2912"/>
      <c r="Q34" s="2909"/>
      <c r="R34" s="2909"/>
      <c r="S34" s="762"/>
      <c r="U34" s="762"/>
    </row>
    <row r="35" spans="1:22" s="24" customFormat="1" ht="12.75" hidden="1">
      <c r="A35" s="2911"/>
      <c r="B35" s="2911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</row>
    <row r="36" spans="1:22" ht="15.75" hidden="1">
      <c r="A36" s="973" t="s">
        <v>325</v>
      </c>
      <c r="B36" s="30"/>
      <c r="C36" s="263"/>
      <c r="D36" s="263"/>
      <c r="E36" s="263"/>
      <c r="F36" s="263"/>
      <c r="G36" s="263"/>
      <c r="H36" s="263"/>
      <c r="I36" s="376"/>
      <c r="J36" s="376"/>
      <c r="K36" s="376"/>
      <c r="L36" s="376"/>
      <c r="M36" s="376"/>
      <c r="N36" s="376"/>
      <c r="O36" s="376"/>
      <c r="P36" s="376"/>
      <c r="Q36" s="263">
        <f>SUM(Q37:Q39)</f>
        <v>298745</v>
      </c>
      <c r="R36" s="263">
        <f>SUM(R37:R39)</f>
        <v>8999.99187</v>
      </c>
      <c r="S36" s="376"/>
      <c r="T36" s="376"/>
      <c r="U36" s="376"/>
      <c r="V36" s="376"/>
    </row>
    <row r="37" spans="1:22" ht="15" customHeight="1" hidden="1">
      <c r="A37" s="370"/>
      <c r="B37" s="974" t="s">
        <v>327</v>
      </c>
      <c r="C37" s="372"/>
      <c r="D37" s="372"/>
      <c r="E37" s="372"/>
      <c r="F37" s="372"/>
      <c r="G37" s="372"/>
      <c r="H37" s="372"/>
      <c r="I37" s="377"/>
      <c r="J37" s="377"/>
      <c r="K37" s="377"/>
      <c r="L37" s="377"/>
      <c r="M37" s="377"/>
      <c r="N37" s="377"/>
      <c r="O37" s="377"/>
      <c r="P37" s="377"/>
      <c r="Q37" s="372">
        <v>66388</v>
      </c>
      <c r="R37" s="372">
        <f>Q37*30.126/1000</f>
        <v>2000.004888</v>
      </c>
      <c r="S37" s="377"/>
      <c r="T37" s="377"/>
      <c r="U37" s="377"/>
      <c r="V37" s="377"/>
    </row>
    <row r="38" spans="1:22" ht="15" customHeight="1" hidden="1">
      <c r="A38" s="75"/>
      <c r="B38" s="371" t="s">
        <v>328</v>
      </c>
      <c r="C38" s="372"/>
      <c r="D38" s="372"/>
      <c r="E38" s="372"/>
      <c r="F38" s="372"/>
      <c r="G38" s="372"/>
      <c r="H38" s="372"/>
      <c r="I38" s="377"/>
      <c r="J38" s="377"/>
      <c r="K38" s="377"/>
      <c r="L38" s="377"/>
      <c r="M38" s="377"/>
      <c r="N38" s="377"/>
      <c r="O38" s="377"/>
      <c r="P38" s="377"/>
      <c r="Q38" s="372">
        <v>232357</v>
      </c>
      <c r="R38" s="372">
        <f>Q38*30.126/1000</f>
        <v>6999.986981999999</v>
      </c>
      <c r="S38" s="377"/>
      <c r="T38" s="377"/>
      <c r="U38" s="377"/>
      <c r="V38" s="377"/>
    </row>
    <row r="39" spans="1:22" ht="15" customHeight="1" hidden="1">
      <c r="A39" s="75"/>
      <c r="B39" s="30" t="s">
        <v>1052</v>
      </c>
      <c r="C39" s="2"/>
      <c r="D39" s="2"/>
      <c r="E39" s="2"/>
      <c r="F39" s="2"/>
      <c r="G39" s="2"/>
      <c r="H39" s="2"/>
      <c r="I39" s="378"/>
      <c r="J39" s="378"/>
      <c r="K39" s="378"/>
      <c r="L39" s="378"/>
      <c r="M39" s="378"/>
      <c r="N39" s="378"/>
      <c r="O39" s="378"/>
      <c r="P39" s="378"/>
      <c r="Q39" s="2"/>
      <c r="R39" s="2"/>
      <c r="S39" s="378"/>
      <c r="T39" s="378"/>
      <c r="U39" s="378"/>
      <c r="V39" s="378"/>
    </row>
    <row r="40" ht="12.75" hidden="1"/>
  </sheetData>
  <sheetProtection/>
  <mergeCells count="30">
    <mergeCell ref="A2:B3"/>
    <mergeCell ref="K2:L2"/>
    <mergeCell ref="Q34:R34"/>
    <mergeCell ref="S2:T2"/>
    <mergeCell ref="S16:T16"/>
    <mergeCell ref="S28:T28"/>
    <mergeCell ref="E16:F16"/>
    <mergeCell ref="E28:F28"/>
    <mergeCell ref="Q2:R2"/>
    <mergeCell ref="Q16:R16"/>
    <mergeCell ref="E2:F2"/>
    <mergeCell ref="U2:V2"/>
    <mergeCell ref="U16:V16"/>
    <mergeCell ref="U28:V28"/>
    <mergeCell ref="M2:N2"/>
    <mergeCell ref="Q28:R28"/>
    <mergeCell ref="K28:L28"/>
    <mergeCell ref="K16:L16"/>
    <mergeCell ref="M16:N16"/>
    <mergeCell ref="E34:F34"/>
    <mergeCell ref="M28:N28"/>
    <mergeCell ref="O34:P34"/>
    <mergeCell ref="G34:H34"/>
    <mergeCell ref="I34:J34"/>
    <mergeCell ref="K34:L34"/>
    <mergeCell ref="M34:N34"/>
    <mergeCell ref="A16:B17"/>
    <mergeCell ref="A28:B29"/>
    <mergeCell ref="C34:D34"/>
    <mergeCell ref="A34:B35"/>
  </mergeCells>
  <printOptions horizontalCentered="1"/>
  <pageMargins left="0" right="0.7874015748031497" top="0.9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krajnikova</dc:creator>
  <cp:keywords/>
  <dc:description/>
  <cp:lastModifiedBy>suranova</cp:lastModifiedBy>
  <cp:lastPrinted>2009-12-04T07:00:40Z</cp:lastPrinted>
  <dcterms:created xsi:type="dcterms:W3CDTF">2007-10-16T12:09:53Z</dcterms:created>
  <dcterms:modified xsi:type="dcterms:W3CDTF">2009-12-17T09:18:27Z</dcterms:modified>
  <cp:category/>
  <cp:version/>
  <cp:contentType/>
  <cp:contentStatus/>
</cp:coreProperties>
</file>